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3275" windowHeight="9825"/>
  </bookViews>
  <sheets>
    <sheet name="Component Calculator" sheetId="1" r:id="rId1"/>
  </sheets>
  <definedNames>
    <definedName name="_xlnm.Print_Area" localSheetId="0">'Component Calculator'!$A$1:$E$60</definedName>
  </definedNames>
  <calcPr calcId="145621"/>
</workbook>
</file>

<file path=xl/calcChain.xml><?xml version="1.0" encoding="utf-8"?>
<calcChain xmlns="http://schemas.openxmlformats.org/spreadsheetml/2006/main">
  <c r="C38" i="1" l="1"/>
  <c r="C16" i="1" l="1"/>
  <c r="C54" i="1" l="1"/>
  <c r="C56" i="1" s="1"/>
  <c r="C57" i="1" s="1"/>
  <c r="C58" i="1" s="1"/>
  <c r="C52" i="1"/>
  <c r="C25" i="1" l="1"/>
  <c r="C26" i="1" s="1"/>
  <c r="C28" i="1" s="1"/>
  <c r="C31" i="1"/>
  <c r="C32" i="1" s="1"/>
  <c r="C33" i="1" s="1"/>
  <c r="C13" i="1"/>
  <c r="C29" i="1" l="1"/>
  <c r="C44" i="1"/>
  <c r="A45" i="1"/>
  <c r="C23" i="1"/>
  <c r="C35" i="1" s="1"/>
  <c r="C30" i="1" l="1"/>
  <c r="C45" i="1" s="1"/>
  <c r="C34" i="1"/>
  <c r="A36" i="1" l="1"/>
  <c r="C37" i="1"/>
  <c r="A46" i="1" l="1"/>
  <c r="C39" i="1"/>
  <c r="C41" i="1" s="1"/>
  <c r="A42" i="1" s="1"/>
  <c r="C46" i="1" l="1"/>
  <c r="C47" i="1" s="1"/>
  <c r="C40" i="1"/>
</calcChain>
</file>

<file path=xl/comments1.xml><?xml version="1.0" encoding="utf-8"?>
<comments xmlns="http://schemas.openxmlformats.org/spreadsheetml/2006/main">
  <authors>
    <author>ptod</author>
  </authors>
  <commentList>
    <comment ref="C40" authorId="0">
      <text>
        <r>
          <rPr>
            <sz val="10"/>
            <color indexed="81"/>
            <rFont val="Tahoma"/>
            <family val="2"/>
          </rPr>
          <t xml:space="preserve">The minimum inductor current rating is the average LED current plus halve the peak current with a 20% margin added. 
</t>
        </r>
      </text>
    </comment>
  </commentList>
</comments>
</file>

<file path=xl/sharedStrings.xml><?xml version="1.0" encoding="utf-8"?>
<sst xmlns="http://schemas.openxmlformats.org/spreadsheetml/2006/main" count="145" uniqueCount="114">
  <si>
    <t>Notes:</t>
  </si>
  <si>
    <t>Description</t>
  </si>
  <si>
    <t>Enter</t>
  </si>
  <si>
    <t>Unit</t>
  </si>
  <si>
    <t>Remark</t>
  </si>
  <si>
    <t>Vin</t>
  </si>
  <si>
    <t>V</t>
  </si>
  <si>
    <t>N</t>
  </si>
  <si>
    <t>V_f</t>
  </si>
  <si>
    <t>Including sense voltage of ~0.2V</t>
  </si>
  <si>
    <t>i_LED</t>
  </si>
  <si>
    <t>A</t>
  </si>
  <si>
    <t>Ripple current as % of average current</t>
  </si>
  <si>
    <t>%</t>
  </si>
  <si>
    <t>EstimatedLED ripple current</t>
  </si>
  <si>
    <r>
      <t>A</t>
    </r>
    <r>
      <rPr>
        <sz val="8"/>
        <rFont val="Arial"/>
        <family val="2"/>
      </rPr>
      <t>pk-pk</t>
    </r>
  </si>
  <si>
    <t>Forward voltage drop of schottky diode</t>
  </si>
  <si>
    <t>V_diode</t>
  </si>
  <si>
    <t>mV</t>
  </si>
  <si>
    <t>(effects are not implemented yet)</t>
  </si>
  <si>
    <t>Vd</t>
  </si>
  <si>
    <t>typically 0.5 - 0.7V</t>
  </si>
  <si>
    <t>Sense resistor average voltage (typ. 0.2V)</t>
  </si>
  <si>
    <t>Vs</t>
  </si>
  <si>
    <t>uS</t>
  </si>
  <si>
    <t>k</t>
  </si>
  <si>
    <t>D</t>
  </si>
  <si>
    <t>D=(Vo+Vd)/(Vi+Vd)</t>
  </si>
  <si>
    <t>Calculated sense resistor value</t>
  </si>
  <si>
    <t>Rs = Vs / i_LED</t>
  </si>
  <si>
    <t>Enter preferred sense resistor value</t>
  </si>
  <si>
    <t>Rs</t>
  </si>
  <si>
    <t>Calculated LED current</t>
  </si>
  <si>
    <t>Desired switching frequency</t>
  </si>
  <si>
    <t>MHz</t>
  </si>
  <si>
    <t>Calculated Ton selection resistor</t>
  </si>
  <si>
    <t>f_sw</t>
  </si>
  <si>
    <t>Calculated SW on-time</t>
  </si>
  <si>
    <t>Ton</t>
  </si>
  <si>
    <t>Calculated SW off-time</t>
  </si>
  <si>
    <t>Toff</t>
  </si>
  <si>
    <t>uH</t>
  </si>
  <si>
    <t>L = (Vin-Vout) * Ton / i_ripple</t>
  </si>
  <si>
    <t>L</t>
  </si>
  <si>
    <t>Calculated ripple current</t>
  </si>
  <si>
    <t>i_ripple</t>
  </si>
  <si>
    <t>Minimum inductor current rating</t>
  </si>
  <si>
    <t>i_sat</t>
  </si>
  <si>
    <t>Including 20% headroom</t>
  </si>
  <si>
    <t>Calculate ripple voltage</t>
  </si>
  <si>
    <t>V_ripple</t>
  </si>
  <si>
    <r>
      <t>V</t>
    </r>
    <r>
      <rPr>
        <sz val="8"/>
        <rFont val="Arial"/>
        <family val="2"/>
      </rPr>
      <t>pk-pk</t>
    </r>
  </si>
  <si>
    <t>Keep ripple voltage &gt;= 0.02V</t>
  </si>
  <si>
    <t>Performance summary with preferred values</t>
  </si>
  <si>
    <t>Switching frequency</t>
  </si>
  <si>
    <t>Radj</t>
  </si>
  <si>
    <t>i_LED = (Vs - i_CSL * Radj) / Rs</t>
  </si>
  <si>
    <t>Ton = D / f_sw</t>
  </si>
  <si>
    <t>Toff = (1-D) / f_sw</t>
  </si>
  <si>
    <t>Enter Input supply voltage</t>
  </si>
  <si>
    <t>Enter Number of LEDs in output string</t>
  </si>
  <si>
    <t>Enter Forward voltage of each LED</t>
  </si>
  <si>
    <t>Enter LED current required</t>
  </si>
  <si>
    <t>Enter Ripple current as % of average current</t>
  </si>
  <si>
    <t>Required Radj for fine-adjustment</t>
  </si>
  <si>
    <t>Radj = (Vs - i_LED*Rs) / i_CSL</t>
  </si>
  <si>
    <t>CSL pin sense current</t>
  </si>
  <si>
    <t>i_CSL</t>
  </si>
  <si>
    <t>mA</t>
  </si>
  <si>
    <t>Enter perferred Radj</t>
  </si>
  <si>
    <r>
      <t xml:space="preserve">2. After component values are calculated, enter preferred values into </t>
    </r>
    <r>
      <rPr>
        <b/>
        <sz val="10"/>
        <color rgb="FF0070C0"/>
        <rFont val="Arial"/>
        <family val="2"/>
      </rPr>
      <t>blue cells</t>
    </r>
    <r>
      <rPr>
        <sz val="10"/>
        <rFont val="Arial"/>
        <family val="2"/>
      </rPr>
      <t>.</t>
    </r>
  </si>
  <si>
    <t>Calculated actual switching frequency</t>
  </si>
  <si>
    <t>Pick equal or less than calculated</t>
  </si>
  <si>
    <t>Enter preferred inductor value</t>
  </si>
  <si>
    <t>ripple%</t>
  </si>
  <si>
    <t>Enter preferred R_Ton resistor value</t>
  </si>
  <si>
    <t>R_Ton</t>
  </si>
  <si>
    <t xml:space="preserve">A6214/16 External Component Value Calculator </t>
  </si>
  <si>
    <t>typically 10-25% of i_LED</t>
  </si>
  <si>
    <t>freq=1 / (k * (Ron+20))</t>
  </si>
  <si>
    <t>V_CSH</t>
  </si>
  <si>
    <t>Desired Internal PWM Frequency</t>
  </si>
  <si>
    <t>Calculated FPWM Resistor value</t>
  </si>
  <si>
    <t>Calculated DR pin voltage</t>
  </si>
  <si>
    <t>Calculated low-side resistance</t>
  </si>
  <si>
    <t>R_Ton = 1 / (f_sw * k) -20</t>
  </si>
  <si>
    <t>Calculated minimum inductor value</t>
  </si>
  <si>
    <t>Frequency selection constant.</t>
  </si>
  <si>
    <t>f_PWM</t>
  </si>
  <si>
    <t>Hz</t>
  </si>
  <si>
    <t>R_FPWM</t>
  </si>
  <si>
    <r>
      <t>k</t>
    </r>
    <r>
      <rPr>
        <sz val="10"/>
        <rFont val="Calibri"/>
        <family val="2"/>
      </rPr>
      <t>Ω</t>
    </r>
  </si>
  <si>
    <t>Ω</t>
  </si>
  <si>
    <t>kΩ</t>
  </si>
  <si>
    <r>
      <t xml:space="preserve">3. A performance summary is then generated </t>
    </r>
    <r>
      <rPr>
        <b/>
        <sz val="10"/>
        <color rgb="FF00B050"/>
        <rFont val="Arial"/>
        <family val="2"/>
      </rPr>
      <t>(green cells</t>
    </r>
    <r>
      <rPr>
        <sz val="10"/>
        <rFont val="Arial"/>
        <family val="2"/>
      </rPr>
      <t>).</t>
    </r>
  </si>
  <si>
    <t>D_PWM</t>
  </si>
  <si>
    <t>Desired internal PWM Duty Cycle (5-99%)</t>
  </si>
  <si>
    <t>V_DR</t>
  </si>
  <si>
    <t>R1</t>
  </si>
  <si>
    <t>R2</t>
  </si>
  <si>
    <t>Pick resistor divider high-side resistance</t>
  </si>
  <si>
    <t>Calculated actual PWM Duty Cycle</t>
  </si>
  <si>
    <t>This Section for A6216-only</t>
  </si>
  <si>
    <t>Required Buck Output Voltage</t>
  </si>
  <si>
    <t>i_p-p</t>
  </si>
  <si>
    <t>peak-to-peak ripple current</t>
  </si>
  <si>
    <t>Min T_on (up to 0.1uS max)</t>
  </si>
  <si>
    <t>Min T_off (up to 0.1uS max)</t>
  </si>
  <si>
    <t>Calculated Buck converter duty Cycle</t>
  </si>
  <si>
    <t>keep between 0.3 and 2.2MHz</t>
  </si>
  <si>
    <t>Pick preferred low-side resistance</t>
  </si>
  <si>
    <r>
      <t xml:space="preserve">1. Enter required system data into </t>
    </r>
    <r>
      <rPr>
        <b/>
        <sz val="10"/>
        <rFont val="Arial"/>
        <family val="2"/>
      </rPr>
      <t>white cells</t>
    </r>
    <r>
      <rPr>
        <sz val="10"/>
        <rFont val="Arial"/>
        <family val="2"/>
      </rPr>
      <t>.</t>
    </r>
  </si>
  <si>
    <r>
      <t xml:space="preserve">4. Warning messages, if any, will appear in </t>
    </r>
    <r>
      <rPr>
        <b/>
        <sz val="10"/>
        <color indexed="10"/>
        <rFont val="Arial"/>
        <family val="2"/>
      </rPr>
      <t>Red</t>
    </r>
  </si>
  <si>
    <t>Last updated Sep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</si>
</sst>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_-&quot;£&quot;* #,##0.00_-;\-&quot;£&quot;* #,##0.00_-;_-&quot;£&quot;* &quot;-&quot;??_-;_-@_-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7030A0"/>
      <name val="Arial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  <font>
      <sz val="1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0066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BF1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0" fontId="3" fillId="5" borderId="1" xfId="0" applyFont="1" applyFill="1" applyBorder="1" applyProtection="1">
      <protection locked="0"/>
    </xf>
    <xf numFmtId="164" fontId="1" fillId="5" borderId="1" xfId="0" applyNumberFormat="1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166" fontId="9" fillId="3" borderId="1" xfId="0" applyNumberFormat="1" applyFont="1" applyFill="1" applyBorder="1" applyAlignment="1" applyProtection="1">
      <alignment horizontal="right"/>
      <protection locked="0"/>
    </xf>
    <xf numFmtId="1" fontId="9" fillId="3" borderId="1" xfId="0" applyNumberFormat="1" applyFont="1" applyFill="1" applyBorder="1" applyAlignment="1" applyProtection="1">
      <alignment horizontal="right"/>
      <protection locked="0"/>
    </xf>
    <xf numFmtId="164" fontId="9" fillId="3" borderId="1" xfId="0" applyNumberFormat="1" applyFont="1" applyFill="1" applyBorder="1" applyProtection="1">
      <protection locked="0"/>
    </xf>
    <xf numFmtId="2" fontId="0" fillId="0" borderId="1" xfId="0" applyNumberFormat="1" applyFont="1" applyFill="1" applyBorder="1" applyAlignment="1" applyProtection="1">
      <alignment horizontal="right"/>
      <protection locked="0"/>
    </xf>
    <xf numFmtId="2" fontId="9" fillId="3" borderId="1" xfId="0" applyNumberFormat="1" applyFont="1" applyFill="1" applyBorder="1" applyProtection="1">
      <protection locked="0"/>
    </xf>
    <xf numFmtId="0" fontId="0" fillId="5" borderId="0" xfId="0" applyFill="1" applyProtection="1"/>
    <xf numFmtId="0" fontId="0" fillId="6" borderId="14" xfId="0" applyFill="1" applyBorder="1" applyProtection="1"/>
    <xf numFmtId="0" fontId="3" fillId="6" borderId="1" xfId="0" applyFont="1" applyFill="1" applyBorder="1" applyProtection="1"/>
    <xf numFmtId="0" fontId="3" fillId="6" borderId="1" xfId="0" applyFont="1" applyFill="1" applyBorder="1" applyAlignment="1" applyProtection="1">
      <alignment horizontal="center"/>
    </xf>
    <xf numFmtId="0" fontId="3" fillId="5" borderId="0" xfId="0" applyFont="1" applyFill="1" applyProtection="1"/>
    <xf numFmtId="0" fontId="0" fillId="6" borderId="1" xfId="0" applyFill="1" applyBorder="1" applyProtection="1"/>
    <xf numFmtId="0" fontId="1" fillId="6" borderId="1" xfId="0" applyFont="1" applyFill="1" applyBorder="1" applyAlignment="1" applyProtection="1">
      <alignment horizontal="center"/>
    </xf>
    <xf numFmtId="0" fontId="1" fillId="6" borderId="1" xfId="0" applyFont="1" applyFill="1" applyBorder="1" applyProtection="1"/>
    <xf numFmtId="0" fontId="0" fillId="6" borderId="1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left"/>
    </xf>
    <xf numFmtId="0" fontId="1" fillId="6" borderId="1" xfId="0" applyFont="1" applyFill="1" applyBorder="1" applyAlignment="1" applyProtection="1">
      <alignment horizontal="left"/>
    </xf>
    <xf numFmtId="0" fontId="0" fillId="5" borderId="1" xfId="0" applyFill="1" applyBorder="1" applyProtection="1"/>
    <xf numFmtId="0" fontId="0" fillId="5" borderId="1" xfId="0" applyFont="1" applyFill="1" applyBorder="1" applyProtection="1"/>
    <xf numFmtId="0" fontId="0" fillId="6" borderId="1" xfId="0" applyFont="1" applyFill="1" applyBorder="1" applyProtection="1"/>
    <xf numFmtId="165" fontId="1" fillId="5" borderId="1" xfId="0" applyNumberFormat="1" applyFont="1" applyFill="1" applyBorder="1" applyProtection="1"/>
    <xf numFmtId="166" fontId="0" fillId="6" borderId="1" xfId="0" applyNumberFormat="1" applyFont="1" applyFill="1" applyBorder="1" applyProtection="1"/>
    <xf numFmtId="167" fontId="0" fillId="6" borderId="1" xfId="1" applyFont="1" applyFill="1" applyBorder="1" applyAlignment="1" applyProtection="1">
      <alignment horizontal="left"/>
    </xf>
    <xf numFmtId="0" fontId="0" fillId="6" borderId="1" xfId="0" applyFont="1" applyFill="1" applyBorder="1" applyAlignment="1" applyProtection="1">
      <alignment horizontal="left"/>
    </xf>
    <xf numFmtId="2" fontId="0" fillId="5" borderId="1" xfId="0" applyNumberFormat="1" applyFont="1" applyFill="1" applyBorder="1" applyAlignment="1" applyProtection="1">
      <alignment horizontal="right"/>
    </xf>
    <xf numFmtId="1" fontId="0" fillId="6" borderId="1" xfId="0" applyNumberFormat="1" applyFont="1" applyFill="1" applyBorder="1" applyAlignment="1" applyProtection="1">
      <alignment horizontal="right"/>
    </xf>
    <xf numFmtId="166" fontId="0" fillId="0" borderId="1" xfId="0" applyNumberFormat="1" applyFont="1" applyBorder="1" applyAlignment="1" applyProtection="1">
      <alignment horizontal="right"/>
    </xf>
    <xf numFmtId="164" fontId="0" fillId="6" borderId="1" xfId="0" applyNumberFormat="1" applyFont="1" applyFill="1" applyBorder="1" applyProtection="1"/>
    <xf numFmtId="2" fontId="0" fillId="6" borderId="1" xfId="0" applyNumberFormat="1" applyFont="1" applyFill="1" applyBorder="1" applyProtection="1"/>
    <xf numFmtId="166" fontId="0" fillId="6" borderId="1" xfId="0" applyNumberFormat="1" applyFill="1" applyBorder="1" applyProtection="1"/>
    <xf numFmtId="166" fontId="1" fillId="6" borderId="1" xfId="0" applyNumberFormat="1" applyFont="1" applyFill="1" applyBorder="1" applyProtection="1"/>
    <xf numFmtId="0" fontId="0" fillId="6" borderId="3" xfId="0" applyFill="1" applyBorder="1" applyProtection="1"/>
    <xf numFmtId="1" fontId="3" fillId="6" borderId="3" xfId="0" applyNumberFormat="1" applyFont="1" applyFill="1" applyBorder="1" applyProtection="1"/>
    <xf numFmtId="0" fontId="0" fillId="6" borderId="4" xfId="0" applyFill="1" applyBorder="1" applyProtection="1"/>
    <xf numFmtId="0" fontId="3" fillId="6" borderId="2" xfId="0" applyFont="1" applyFill="1" applyBorder="1" applyProtection="1"/>
    <xf numFmtId="0" fontId="0" fillId="6" borderId="13" xfId="0" applyFill="1" applyBorder="1" applyProtection="1"/>
    <xf numFmtId="0" fontId="0" fillId="6" borderId="1" xfId="0" applyFont="1" applyFill="1" applyBorder="1" applyAlignment="1" applyProtection="1">
      <alignment horizontal="center"/>
    </xf>
    <xf numFmtId="0" fontId="5" fillId="6" borderId="14" xfId="0" applyFont="1" applyFill="1" applyBorder="1" applyProtection="1"/>
    <xf numFmtId="0" fontId="1" fillId="6" borderId="14" xfId="0" applyFont="1" applyFill="1" applyBorder="1" applyProtection="1"/>
    <xf numFmtId="0" fontId="1" fillId="6" borderId="2" xfId="0" applyFont="1" applyFill="1" applyBorder="1" applyProtection="1"/>
    <xf numFmtId="1" fontId="3" fillId="6" borderId="3" xfId="0" applyNumberFormat="1" applyFont="1" applyFill="1" applyBorder="1" applyAlignment="1" applyProtection="1">
      <alignment horizontal="right"/>
    </xf>
    <xf numFmtId="1" fontId="3" fillId="6" borderId="1" xfId="0" applyNumberFormat="1" applyFont="1" applyFill="1" applyBorder="1" applyAlignment="1" applyProtection="1">
      <alignment horizontal="right"/>
    </xf>
    <xf numFmtId="164" fontId="0" fillId="6" borderId="1" xfId="0" applyNumberFormat="1" applyFont="1" applyFill="1" applyBorder="1" applyAlignment="1" applyProtection="1">
      <alignment horizontal="right"/>
    </xf>
    <xf numFmtId="2" fontId="0" fillId="6" borderId="1" xfId="0" applyNumberFormat="1" applyFont="1" applyFill="1" applyBorder="1" applyAlignment="1" applyProtection="1">
      <alignment horizontal="right"/>
    </xf>
    <xf numFmtId="0" fontId="1" fillId="6" borderId="15" xfId="0" applyFont="1" applyFill="1" applyBorder="1" applyProtection="1"/>
    <xf numFmtId="0" fontId="1" fillId="5" borderId="0" xfId="0" applyFont="1" applyFill="1" applyProtection="1"/>
    <xf numFmtId="1" fontId="3" fillId="5" borderId="0" xfId="0" applyNumberFormat="1" applyFont="1" applyFill="1" applyAlignment="1" applyProtection="1">
      <alignment horizontal="right"/>
    </xf>
    <xf numFmtId="2" fontId="3" fillId="5" borderId="1" xfId="0" applyNumberFormat="1" applyFont="1" applyFill="1" applyBorder="1" applyProtection="1">
      <protection locked="0"/>
    </xf>
    <xf numFmtId="0" fontId="2" fillId="6" borderId="5" xfId="0" applyFont="1" applyFill="1" applyBorder="1" applyAlignment="1" applyProtection="1">
      <alignment horizontal="left"/>
    </xf>
    <xf numFmtId="0" fontId="2" fillId="6" borderId="6" xfId="0" applyFont="1" applyFill="1" applyBorder="1" applyAlignment="1" applyProtection="1">
      <alignment horizontal="left"/>
    </xf>
    <xf numFmtId="0" fontId="2" fillId="6" borderId="7" xfId="0" applyFont="1" applyFill="1" applyBorder="1" applyAlignment="1" applyProtection="1">
      <alignment horizontal="left"/>
    </xf>
    <xf numFmtId="0" fontId="3" fillId="6" borderId="10" xfId="0" applyFont="1" applyFill="1" applyBorder="1" applyAlignment="1" applyProtection="1">
      <alignment horizontal="left"/>
    </xf>
    <xf numFmtId="0" fontId="3" fillId="6" borderId="11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1" fillId="6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1" fillId="6" borderId="12" xfId="0" applyFont="1" applyFill="1" applyBorder="1" applyAlignment="1" applyProtection="1">
      <alignment horizontal="center"/>
    </xf>
    <xf numFmtId="0" fontId="10" fillId="6" borderId="2" xfId="0" applyFont="1" applyFill="1" applyBorder="1" applyAlignment="1" applyProtection="1">
      <alignment horizontal="left"/>
    </xf>
    <xf numFmtId="0" fontId="10" fillId="6" borderId="3" xfId="0" applyFont="1" applyFill="1" applyBorder="1" applyAlignment="1" applyProtection="1">
      <alignment horizontal="left"/>
    </xf>
    <xf numFmtId="0" fontId="10" fillId="6" borderId="4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0" fontId="0" fillId="5" borderId="2" xfId="0" applyFill="1" applyBorder="1" applyAlignment="1" applyProtection="1">
      <alignment horizontal="left"/>
    </xf>
    <xf numFmtId="0" fontId="0" fillId="5" borderId="3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left"/>
    </xf>
    <xf numFmtId="0" fontId="0" fillId="4" borderId="3" xfId="0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left"/>
    </xf>
    <xf numFmtId="0" fontId="0" fillId="6" borderId="2" xfId="0" applyFill="1" applyBorder="1" applyAlignment="1" applyProtection="1">
      <alignment horizontal="left"/>
    </xf>
    <xf numFmtId="0" fontId="0" fillId="6" borderId="3" xfId="0" applyFill="1" applyBorder="1" applyAlignment="1" applyProtection="1">
      <alignment horizontal="left"/>
    </xf>
    <xf numFmtId="0" fontId="0" fillId="6" borderId="4" xfId="0" applyFill="1" applyBorder="1" applyAlignment="1" applyProtection="1">
      <alignment horizontal="left"/>
    </xf>
    <xf numFmtId="0" fontId="8" fillId="6" borderId="8" xfId="0" applyFont="1" applyFill="1" applyBorder="1" applyAlignment="1" applyProtection="1">
      <alignment horizontal="right"/>
    </xf>
    <xf numFmtId="0" fontId="8" fillId="6" borderId="0" xfId="0" applyFont="1" applyFill="1" applyBorder="1" applyAlignment="1" applyProtection="1">
      <alignment horizontal="right"/>
    </xf>
    <xf numFmtId="0" fontId="8" fillId="6" borderId="9" xfId="0" applyFont="1" applyFill="1" applyBorder="1" applyAlignment="1" applyProtection="1">
      <alignment horizontal="right"/>
    </xf>
    <xf numFmtId="0" fontId="13" fillId="6" borderId="2" xfId="0" applyFont="1" applyFill="1" applyBorder="1" applyAlignment="1" applyProtection="1">
      <alignment horizontal="left"/>
    </xf>
    <xf numFmtId="0" fontId="13" fillId="6" borderId="3" xfId="0" applyFont="1" applyFill="1" applyBorder="1" applyAlignment="1" applyProtection="1">
      <alignment horizontal="left"/>
    </xf>
    <xf numFmtId="0" fontId="13" fillId="6" borderId="4" xfId="0" applyFont="1" applyFill="1" applyBorder="1" applyAlignment="1" applyProtection="1">
      <alignment horizontal="left"/>
    </xf>
    <xf numFmtId="164" fontId="3" fillId="5" borderId="1" xfId="0" applyNumberFormat="1" applyFont="1" applyFill="1" applyBorder="1" applyProtection="1">
      <protection locked="0"/>
    </xf>
    <xf numFmtId="2" fontId="14" fillId="2" borderId="1" xfId="0" applyNumberFormat="1" applyFont="1" applyFill="1" applyBorder="1" applyProtection="1"/>
    <xf numFmtId="166" fontId="14" fillId="2" borderId="1" xfId="0" applyNumberFormat="1" applyFont="1" applyFill="1" applyBorder="1" applyProtection="1"/>
    <xf numFmtId="1" fontId="14" fillId="2" borderId="1" xfId="0" applyNumberFormat="1" applyFont="1" applyFill="1" applyBorder="1" applyAlignment="1" applyProtection="1">
      <alignment horizontal="righ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6600"/>
      <color rgb="FFCBF1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1604333</xdr:colOff>
      <xdr:row>60</xdr:row>
      <xdr:rowOff>0</xdr:rowOff>
    </xdr:from>
    <xdr:ext cx="65" cy="206467"/>
    <xdr:sp macro="" textlink="">
      <xdr:nvSpPr>
        <xdr:cNvPr id="2" name="Rectangle 366"/>
        <xdr:cNvSpPr>
          <a:spLocks noChangeAspect="1" noChangeArrowheads="1"/>
        </xdr:cNvSpPr>
      </xdr:nvSpPr>
      <xdr:spPr bwMode="auto">
        <a:xfrm>
          <a:off x="1604333" y="10481094"/>
          <a:ext cx="65" cy="206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1</xdr:col>
      <xdr:colOff>534838</xdr:colOff>
      <xdr:row>60</xdr:row>
      <xdr:rowOff>0</xdr:rowOff>
    </xdr:from>
    <xdr:to>
      <xdr:col>1</xdr:col>
      <xdr:colOff>534838</xdr:colOff>
      <xdr:row>60</xdr:row>
      <xdr:rowOff>103517</xdr:rowOff>
    </xdr:to>
    <xdr:sp macro="" textlink="">
      <xdr:nvSpPr>
        <xdr:cNvPr id="1123" name="Rectangle 368"/>
        <xdr:cNvSpPr>
          <a:spLocks noChangeAspect="1" noChangeArrowheads="1"/>
        </xdr:cNvSpPr>
      </xdr:nvSpPr>
      <xdr:spPr bwMode="auto">
        <a:xfrm>
          <a:off x="3364302" y="10481094"/>
          <a:ext cx="0" cy="103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644105</xdr:colOff>
      <xdr:row>46</xdr:row>
      <xdr:rowOff>133350</xdr:rowOff>
    </xdr:from>
    <xdr:to>
      <xdr:col>4</xdr:col>
      <xdr:colOff>1662022</xdr:colOff>
      <xdr:row>57</xdr:row>
      <xdr:rowOff>92194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4655" y="5467350"/>
          <a:ext cx="1017917" cy="14161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E60"/>
  <sheetViews>
    <sheetView tabSelected="1" workbookViewId="0">
      <selection activeCell="C10" sqref="C10"/>
    </sheetView>
  </sheetViews>
  <sheetFormatPr defaultRowHeight="12.75" x14ac:dyDescent="0.2"/>
  <cols>
    <col min="1" max="1" width="36.85546875" style="9" customWidth="1"/>
    <col min="2" max="2" width="10.7109375" style="9" customWidth="1"/>
    <col min="3" max="3" width="9.7109375" style="9" customWidth="1"/>
    <col min="4" max="4" width="8.7109375" style="9" customWidth="1"/>
    <col min="5" max="5" width="36.140625" style="9" customWidth="1"/>
    <col min="6" max="16384" width="9.140625" style="9"/>
  </cols>
  <sheetData>
    <row r="1" spans="1:5" ht="15.75" x14ac:dyDescent="0.25">
      <c r="A1" s="51" t="s">
        <v>77</v>
      </c>
      <c r="B1" s="52"/>
      <c r="C1" s="52"/>
      <c r="D1" s="52"/>
      <c r="E1" s="53"/>
    </row>
    <row r="2" spans="1:5" ht="15.75" customHeight="1" x14ac:dyDescent="0.2">
      <c r="A2" s="74" t="s">
        <v>113</v>
      </c>
      <c r="B2" s="75"/>
      <c r="C2" s="75"/>
      <c r="D2" s="75"/>
      <c r="E2" s="76"/>
    </row>
    <row r="3" spans="1:5" ht="15.75" customHeight="1" x14ac:dyDescent="0.2">
      <c r="A3" s="54" t="s">
        <v>0</v>
      </c>
      <c r="B3" s="55"/>
      <c r="C3" s="55"/>
      <c r="D3" s="55"/>
      <c r="E3" s="56"/>
    </row>
    <row r="4" spans="1:5" x14ac:dyDescent="0.2">
      <c r="A4" s="65" t="s">
        <v>111</v>
      </c>
      <c r="B4" s="66"/>
      <c r="C4" s="66"/>
      <c r="D4" s="67"/>
      <c r="E4" s="10"/>
    </row>
    <row r="5" spans="1:5" x14ac:dyDescent="0.2">
      <c r="A5" s="63" t="s">
        <v>70</v>
      </c>
      <c r="B5" s="64"/>
      <c r="C5" s="64"/>
      <c r="D5" s="64"/>
      <c r="E5" s="10"/>
    </row>
    <row r="6" spans="1:5" x14ac:dyDescent="0.2">
      <c r="A6" s="68" t="s">
        <v>94</v>
      </c>
      <c r="B6" s="69"/>
      <c r="C6" s="69"/>
      <c r="D6" s="70"/>
      <c r="E6" s="10"/>
    </row>
    <row r="7" spans="1:5" x14ac:dyDescent="0.2">
      <c r="A7" s="71" t="s">
        <v>112</v>
      </c>
      <c r="B7" s="72"/>
      <c r="C7" s="72"/>
      <c r="D7" s="73"/>
      <c r="E7" s="10"/>
    </row>
    <row r="8" spans="1:5" ht="15.75" customHeight="1" x14ac:dyDescent="0.2">
      <c r="A8" s="57"/>
      <c r="B8" s="58"/>
      <c r="C8" s="58"/>
      <c r="D8" s="58"/>
      <c r="E8" s="59"/>
    </row>
    <row r="9" spans="1:5" s="13" customFormat="1" x14ac:dyDescent="0.2">
      <c r="A9" s="11" t="s">
        <v>1</v>
      </c>
      <c r="B9" s="11"/>
      <c r="C9" s="12" t="s">
        <v>2</v>
      </c>
      <c r="D9" s="11" t="s">
        <v>3</v>
      </c>
      <c r="E9" s="11" t="s">
        <v>4</v>
      </c>
    </row>
    <row r="10" spans="1:5" x14ac:dyDescent="0.2">
      <c r="A10" s="14" t="s">
        <v>59</v>
      </c>
      <c r="B10" s="15" t="s">
        <v>5</v>
      </c>
      <c r="C10" s="1">
        <v>12</v>
      </c>
      <c r="D10" s="14" t="s">
        <v>6</v>
      </c>
      <c r="E10" s="16"/>
    </row>
    <row r="11" spans="1:5" x14ac:dyDescent="0.2">
      <c r="A11" s="14" t="s">
        <v>60</v>
      </c>
      <c r="B11" s="15" t="s">
        <v>7</v>
      </c>
      <c r="C11" s="1">
        <v>2</v>
      </c>
      <c r="D11" s="14"/>
      <c r="E11" s="16"/>
    </row>
    <row r="12" spans="1:5" x14ac:dyDescent="0.2">
      <c r="A12" s="14" t="s">
        <v>61</v>
      </c>
      <c r="B12" s="15" t="s">
        <v>8</v>
      </c>
      <c r="C12" s="1">
        <v>3</v>
      </c>
      <c r="D12" s="16" t="s">
        <v>6</v>
      </c>
      <c r="E12" s="16"/>
    </row>
    <row r="13" spans="1:5" hidden="1" x14ac:dyDescent="0.2">
      <c r="A13" s="14" t="s">
        <v>103</v>
      </c>
      <c r="B13" s="17" t="s">
        <v>80</v>
      </c>
      <c r="C13" s="2">
        <f>C11*C12+C19</f>
        <v>6.2</v>
      </c>
      <c r="D13" s="14" t="s">
        <v>6</v>
      </c>
      <c r="E13" s="16" t="s">
        <v>9</v>
      </c>
    </row>
    <row r="14" spans="1:5" x14ac:dyDescent="0.2">
      <c r="A14" s="18" t="s">
        <v>62</v>
      </c>
      <c r="B14" s="15" t="s">
        <v>10</v>
      </c>
      <c r="C14" s="1">
        <v>1</v>
      </c>
      <c r="D14" s="16" t="s">
        <v>11</v>
      </c>
      <c r="E14" s="16"/>
    </row>
    <row r="15" spans="1:5" x14ac:dyDescent="0.2">
      <c r="A15" s="18" t="s">
        <v>63</v>
      </c>
      <c r="B15" s="14"/>
      <c r="C15" s="1">
        <v>20</v>
      </c>
      <c r="D15" s="16" t="s">
        <v>13</v>
      </c>
      <c r="E15" s="14" t="s">
        <v>78</v>
      </c>
    </row>
    <row r="16" spans="1:5" hidden="1" x14ac:dyDescent="0.2">
      <c r="A16" s="19" t="s">
        <v>14</v>
      </c>
      <c r="B16" s="17" t="s">
        <v>104</v>
      </c>
      <c r="C16" s="3">
        <f>C14*C15/100</f>
        <v>0.2</v>
      </c>
      <c r="D16" s="14" t="s">
        <v>11</v>
      </c>
      <c r="E16" s="14" t="s">
        <v>105</v>
      </c>
    </row>
    <row r="17" spans="1:5" hidden="1" x14ac:dyDescent="0.2">
      <c r="A17" s="14" t="s">
        <v>16</v>
      </c>
      <c r="B17" s="15" t="s">
        <v>17</v>
      </c>
      <c r="C17" s="1">
        <v>350</v>
      </c>
      <c r="D17" s="14" t="s">
        <v>18</v>
      </c>
      <c r="E17" s="16" t="s">
        <v>19</v>
      </c>
    </row>
    <row r="18" spans="1:5" x14ac:dyDescent="0.2">
      <c r="A18" s="16" t="s">
        <v>16</v>
      </c>
      <c r="B18" s="15" t="s">
        <v>20</v>
      </c>
      <c r="C18" s="1">
        <v>0.6</v>
      </c>
      <c r="D18" s="16" t="s">
        <v>6</v>
      </c>
      <c r="E18" s="16" t="s">
        <v>21</v>
      </c>
    </row>
    <row r="19" spans="1:5" hidden="1" x14ac:dyDescent="0.2">
      <c r="A19" s="16" t="s">
        <v>22</v>
      </c>
      <c r="B19" s="15" t="s">
        <v>23</v>
      </c>
      <c r="C19" s="20">
        <v>0.2</v>
      </c>
      <c r="D19" s="16" t="s">
        <v>6</v>
      </c>
      <c r="E19" s="16"/>
    </row>
    <row r="20" spans="1:5" hidden="1" x14ac:dyDescent="0.2">
      <c r="A20" s="14" t="s">
        <v>106</v>
      </c>
      <c r="B20" s="17"/>
      <c r="C20" s="21">
        <v>0.08</v>
      </c>
      <c r="D20" s="16" t="s">
        <v>24</v>
      </c>
      <c r="E20" s="16"/>
    </row>
    <row r="21" spans="1:5" hidden="1" x14ac:dyDescent="0.2">
      <c r="A21" s="14" t="s">
        <v>107</v>
      </c>
      <c r="B21" s="17"/>
      <c r="C21" s="21">
        <v>0.08</v>
      </c>
      <c r="D21" s="16" t="s">
        <v>24</v>
      </c>
      <c r="E21" s="16"/>
    </row>
    <row r="22" spans="1:5" hidden="1" x14ac:dyDescent="0.2">
      <c r="A22" s="18" t="s">
        <v>87</v>
      </c>
      <c r="B22" s="15" t="s">
        <v>25</v>
      </c>
      <c r="C22" s="21">
        <v>4.3400000000000001E-3</v>
      </c>
      <c r="D22" s="14"/>
      <c r="E22" s="22" t="s">
        <v>79</v>
      </c>
    </row>
    <row r="23" spans="1:5" hidden="1" x14ac:dyDescent="0.2">
      <c r="A23" s="18" t="s">
        <v>108</v>
      </c>
      <c r="B23" s="15" t="s">
        <v>26</v>
      </c>
      <c r="C23" s="23">
        <f>(C13+C18)/(C10+C18)</f>
        <v>0.53968253968253965</v>
      </c>
      <c r="D23" s="14"/>
      <c r="E23" s="16" t="s">
        <v>27</v>
      </c>
    </row>
    <row r="24" spans="1:5" x14ac:dyDescent="0.2">
      <c r="A24" s="16" t="s">
        <v>33</v>
      </c>
      <c r="B24" s="15"/>
      <c r="C24" s="50">
        <v>2</v>
      </c>
      <c r="D24" s="14" t="s">
        <v>34</v>
      </c>
      <c r="E24" s="16"/>
    </row>
    <row r="25" spans="1:5" x14ac:dyDescent="0.2">
      <c r="A25" s="16" t="s">
        <v>28</v>
      </c>
      <c r="B25" s="15"/>
      <c r="C25" s="24">
        <f>C19/C14</f>
        <v>0.2</v>
      </c>
      <c r="D25" s="14" t="s">
        <v>92</v>
      </c>
      <c r="E25" s="25" t="s">
        <v>29</v>
      </c>
    </row>
    <row r="26" spans="1:5" x14ac:dyDescent="0.2">
      <c r="A26" s="22" t="s">
        <v>30</v>
      </c>
      <c r="B26" s="15" t="s">
        <v>31</v>
      </c>
      <c r="C26" s="4">
        <f>C25</f>
        <v>0.2</v>
      </c>
      <c r="D26" s="14" t="s">
        <v>92</v>
      </c>
      <c r="E26" s="26" t="s">
        <v>72</v>
      </c>
    </row>
    <row r="27" spans="1:5" hidden="1" x14ac:dyDescent="0.2">
      <c r="A27" s="22" t="s">
        <v>66</v>
      </c>
      <c r="B27" s="17" t="s">
        <v>67</v>
      </c>
      <c r="C27" s="27">
        <v>7.0000000000000007E-2</v>
      </c>
      <c r="D27" s="22" t="s">
        <v>68</v>
      </c>
      <c r="E27" s="16"/>
    </row>
    <row r="28" spans="1:5" x14ac:dyDescent="0.2">
      <c r="A28" s="22" t="s">
        <v>64</v>
      </c>
      <c r="B28" s="15"/>
      <c r="C28" s="28">
        <f>(C19-C14*C26)/C27*1000</f>
        <v>0</v>
      </c>
      <c r="D28" s="22" t="s">
        <v>92</v>
      </c>
      <c r="E28" s="14" t="s">
        <v>65</v>
      </c>
    </row>
    <row r="29" spans="1:5" x14ac:dyDescent="0.2">
      <c r="A29" s="14" t="s">
        <v>69</v>
      </c>
      <c r="B29" s="17" t="s">
        <v>55</v>
      </c>
      <c r="C29" s="5">
        <f>C28</f>
        <v>0</v>
      </c>
      <c r="D29" s="22" t="s">
        <v>92</v>
      </c>
      <c r="E29" s="16"/>
    </row>
    <row r="30" spans="1:5" hidden="1" x14ac:dyDescent="0.2">
      <c r="A30" s="16" t="s">
        <v>32</v>
      </c>
      <c r="B30" s="17"/>
      <c r="C30" s="29">
        <f>(C19 - C29*C27/1000) /C26</f>
        <v>1</v>
      </c>
      <c r="D30" s="16" t="s">
        <v>11</v>
      </c>
      <c r="E30" s="14" t="s">
        <v>56</v>
      </c>
    </row>
    <row r="31" spans="1:5" x14ac:dyDescent="0.2">
      <c r="A31" s="16" t="s">
        <v>35</v>
      </c>
      <c r="B31" s="17"/>
      <c r="C31" s="30">
        <f>1/(C24*C22) -20</f>
        <v>95.207373271889395</v>
      </c>
      <c r="D31" s="14" t="s">
        <v>93</v>
      </c>
      <c r="E31" s="22" t="s">
        <v>85</v>
      </c>
    </row>
    <row r="32" spans="1:5" x14ac:dyDescent="0.2">
      <c r="A32" s="14" t="s">
        <v>75</v>
      </c>
      <c r="B32" s="17" t="s">
        <v>76</v>
      </c>
      <c r="C32" s="6">
        <f>C31</f>
        <v>95.207373271889395</v>
      </c>
      <c r="D32" s="14" t="s">
        <v>93</v>
      </c>
      <c r="E32" s="16"/>
    </row>
    <row r="33" spans="1:5" x14ac:dyDescent="0.2">
      <c r="A33" s="14" t="s">
        <v>71</v>
      </c>
      <c r="B33" s="15" t="s">
        <v>36</v>
      </c>
      <c r="C33" s="31">
        <f>1/(C22*(C32+19))</f>
        <v>2.017512004196425</v>
      </c>
      <c r="D33" s="16" t="s">
        <v>34</v>
      </c>
      <c r="E33" s="14" t="s">
        <v>109</v>
      </c>
    </row>
    <row r="34" spans="1:5" x14ac:dyDescent="0.2">
      <c r="A34" s="16" t="s">
        <v>37</v>
      </c>
      <c r="B34" s="15" t="s">
        <v>38</v>
      </c>
      <c r="C34" s="32">
        <f>C23/C33</f>
        <v>0.26749904761904758</v>
      </c>
      <c r="D34" s="16" t="s">
        <v>24</v>
      </c>
      <c r="E34" s="14" t="s">
        <v>57</v>
      </c>
    </row>
    <row r="35" spans="1:5" x14ac:dyDescent="0.2">
      <c r="A35" s="16" t="s">
        <v>39</v>
      </c>
      <c r="B35" s="15" t="s">
        <v>40</v>
      </c>
      <c r="C35" s="32">
        <f>(1-C23)/C33</f>
        <v>0.22816095238095241</v>
      </c>
      <c r="D35" s="16" t="s">
        <v>24</v>
      </c>
      <c r="E35" s="14" t="s">
        <v>58</v>
      </c>
    </row>
    <row r="36" spans="1:5" x14ac:dyDescent="0.2">
      <c r="A36" s="77" t="str">
        <f>IF(C34&lt;C20,"Min T_on violated, Select lower frequency or higher Vout",IF(C35&lt;C21,"Min T_off violated, Select lower frequency or lower Vout",""))</f>
        <v/>
      </c>
      <c r="B36" s="78"/>
      <c r="C36" s="78"/>
      <c r="D36" s="78"/>
      <c r="E36" s="79"/>
    </row>
    <row r="37" spans="1:5" x14ac:dyDescent="0.2">
      <c r="A37" s="14" t="s">
        <v>86</v>
      </c>
      <c r="B37" s="17"/>
      <c r="C37" s="30">
        <f>(C10-C13)*C34/C16</f>
        <v>7.7574723809523789</v>
      </c>
      <c r="D37" s="14" t="s">
        <v>41</v>
      </c>
      <c r="E37" s="16" t="s">
        <v>42</v>
      </c>
    </row>
    <row r="38" spans="1:5" x14ac:dyDescent="0.2">
      <c r="A38" s="14" t="s">
        <v>73</v>
      </c>
      <c r="B38" s="15" t="s">
        <v>43</v>
      </c>
      <c r="C38" s="6">
        <f>C37</f>
        <v>7.7574723809523789</v>
      </c>
      <c r="D38" s="14" t="s">
        <v>41</v>
      </c>
      <c r="E38" s="16"/>
    </row>
    <row r="39" spans="1:5" hidden="1" x14ac:dyDescent="0.2">
      <c r="A39" s="16" t="s">
        <v>44</v>
      </c>
      <c r="B39" s="15" t="s">
        <v>45</v>
      </c>
      <c r="C39" s="24">
        <f>(C10-C13)/C38*C34</f>
        <v>0.20000000000000004</v>
      </c>
      <c r="D39" s="16" t="s">
        <v>11</v>
      </c>
      <c r="E39" s="16"/>
    </row>
    <row r="40" spans="1:5" x14ac:dyDescent="0.2">
      <c r="A40" s="16" t="s">
        <v>46</v>
      </c>
      <c r="B40" s="15" t="s">
        <v>47</v>
      </c>
      <c r="C40" s="24">
        <f>(C30+C39/2) * 1.2</f>
        <v>1.32</v>
      </c>
      <c r="D40" s="16" t="s">
        <v>11</v>
      </c>
      <c r="E40" s="16" t="s">
        <v>48</v>
      </c>
    </row>
    <row r="41" spans="1:5" x14ac:dyDescent="0.2">
      <c r="A41" s="16" t="s">
        <v>49</v>
      </c>
      <c r="B41" s="15" t="s">
        <v>50</v>
      </c>
      <c r="C41" s="33">
        <f>C39*C26</f>
        <v>4.0000000000000008E-2</v>
      </c>
      <c r="D41" s="16" t="s">
        <v>51</v>
      </c>
      <c r="E41" s="16" t="s">
        <v>52</v>
      </c>
    </row>
    <row r="42" spans="1:5" x14ac:dyDescent="0.2">
      <c r="A42" s="77" t="str">
        <f>IF(C41&lt;0.02, "Ripple voltage too low. Select an inductor that produces a voltage greater than 0.02V","")</f>
        <v/>
      </c>
      <c r="B42" s="78"/>
      <c r="C42" s="78"/>
      <c r="D42" s="78"/>
      <c r="E42" s="79"/>
    </row>
    <row r="43" spans="1:5" x14ac:dyDescent="0.2">
      <c r="A43" s="37" t="s">
        <v>53</v>
      </c>
      <c r="B43" s="34"/>
      <c r="C43" s="35"/>
      <c r="D43" s="36"/>
      <c r="E43" s="38"/>
    </row>
    <row r="44" spans="1:5" x14ac:dyDescent="0.2">
      <c r="A44" s="14" t="s">
        <v>54</v>
      </c>
      <c r="B44" s="39" t="s">
        <v>36</v>
      </c>
      <c r="C44" s="81">
        <f>C33</f>
        <v>2.017512004196425</v>
      </c>
      <c r="D44" s="14" t="s">
        <v>34</v>
      </c>
      <c r="E44" s="10"/>
    </row>
    <row r="45" spans="1:5" x14ac:dyDescent="0.2">
      <c r="A45" s="14" t="str">
        <f xml:space="preserve"> "Average LED current with Rs= " &amp; TEXT(C26,"###") &amp; "mOhm"</f>
        <v>Average LED current with Rs= mOhm</v>
      </c>
      <c r="B45" s="39" t="s">
        <v>10</v>
      </c>
      <c r="C45" s="82">
        <f>C30</f>
        <v>1</v>
      </c>
      <c r="D45" s="16" t="s">
        <v>11</v>
      </c>
      <c r="E45" s="40"/>
    </row>
    <row r="46" spans="1:5" x14ac:dyDescent="0.2">
      <c r="A46" s="14" t="str">
        <f xml:space="preserve"> "LED ripple current with preferred L= " &amp; TEXT(C38,"###") &amp; "uH"</f>
        <v>LED ripple current with preferred L= 8uH</v>
      </c>
      <c r="B46" s="39" t="s">
        <v>45</v>
      </c>
      <c r="C46" s="82">
        <f>C39</f>
        <v>0.20000000000000004</v>
      </c>
      <c r="D46" s="16" t="s">
        <v>15</v>
      </c>
      <c r="E46" s="41"/>
    </row>
    <row r="47" spans="1:5" x14ac:dyDescent="0.2">
      <c r="A47" s="16" t="s">
        <v>12</v>
      </c>
      <c r="B47" s="39" t="s">
        <v>74</v>
      </c>
      <c r="C47" s="83">
        <f>C46*100/C45</f>
        <v>20.000000000000004</v>
      </c>
      <c r="D47" s="14" t="s">
        <v>13</v>
      </c>
      <c r="E47" s="41"/>
    </row>
    <row r="48" spans="1:5" x14ac:dyDescent="0.2">
      <c r="A48" s="42"/>
      <c r="B48" s="34"/>
      <c r="C48" s="43"/>
      <c r="D48" s="36"/>
      <c r="E48" s="41"/>
    </row>
    <row r="49" spans="1:5" hidden="1" x14ac:dyDescent="0.2">
      <c r="A49" s="16"/>
      <c r="B49" s="14"/>
      <c r="C49" s="44"/>
      <c r="D49" s="14"/>
      <c r="E49" s="41"/>
    </row>
    <row r="50" spans="1:5" x14ac:dyDescent="0.2">
      <c r="A50" s="60" t="s">
        <v>102</v>
      </c>
      <c r="B50" s="61"/>
      <c r="C50" s="61"/>
      <c r="D50" s="62"/>
      <c r="E50" s="41"/>
    </row>
    <row r="51" spans="1:5" x14ac:dyDescent="0.2">
      <c r="A51" s="14" t="s">
        <v>81</v>
      </c>
      <c r="B51" s="17" t="s">
        <v>88</v>
      </c>
      <c r="C51" s="1">
        <v>400</v>
      </c>
      <c r="D51" s="14" t="s">
        <v>89</v>
      </c>
      <c r="E51" s="41"/>
    </row>
    <row r="52" spans="1:5" x14ac:dyDescent="0.2">
      <c r="A52" s="14" t="s">
        <v>82</v>
      </c>
      <c r="B52" s="17" t="s">
        <v>90</v>
      </c>
      <c r="C52" s="45">
        <f>6400/C51 - 0.5</f>
        <v>15.5</v>
      </c>
      <c r="D52" s="14" t="s">
        <v>91</v>
      </c>
      <c r="E52" s="41"/>
    </row>
    <row r="53" spans="1:5" x14ac:dyDescent="0.2">
      <c r="A53" s="14" t="s">
        <v>96</v>
      </c>
      <c r="B53" s="17" t="s">
        <v>95</v>
      </c>
      <c r="C53" s="1">
        <v>5</v>
      </c>
      <c r="D53" s="14" t="s">
        <v>13</v>
      </c>
      <c r="E53" s="41"/>
    </row>
    <row r="54" spans="1:5" hidden="1" x14ac:dyDescent="0.2">
      <c r="A54" s="14" t="s">
        <v>83</v>
      </c>
      <c r="B54" s="17" t="s">
        <v>97</v>
      </c>
      <c r="C54" s="7">
        <f>C53*0.0343</f>
        <v>0.17149999999999999</v>
      </c>
      <c r="D54" s="14" t="s">
        <v>6</v>
      </c>
      <c r="E54" s="41"/>
    </row>
    <row r="55" spans="1:5" x14ac:dyDescent="0.2">
      <c r="A55" s="14" t="s">
        <v>100</v>
      </c>
      <c r="B55" s="17" t="s">
        <v>98</v>
      </c>
      <c r="C55" s="80">
        <v>100</v>
      </c>
      <c r="D55" s="14" t="s">
        <v>91</v>
      </c>
      <c r="E55" s="41"/>
    </row>
    <row r="56" spans="1:5" x14ac:dyDescent="0.2">
      <c r="A56" s="14" t="s">
        <v>84</v>
      </c>
      <c r="B56" s="17"/>
      <c r="C56" s="46">
        <f>C55*C54/(5-C54)</f>
        <v>3.5518276897587238</v>
      </c>
      <c r="D56" s="14" t="s">
        <v>91</v>
      </c>
      <c r="E56" s="41"/>
    </row>
    <row r="57" spans="1:5" x14ac:dyDescent="0.2">
      <c r="A57" s="14" t="s">
        <v>110</v>
      </c>
      <c r="B57" s="17" t="s">
        <v>99</v>
      </c>
      <c r="C57" s="8">
        <f>C56</f>
        <v>3.5518276897587238</v>
      </c>
      <c r="D57" s="14" t="s">
        <v>91</v>
      </c>
      <c r="E57" s="41"/>
    </row>
    <row r="58" spans="1:5" x14ac:dyDescent="0.2">
      <c r="A58" s="14" t="s">
        <v>101</v>
      </c>
      <c r="B58" s="17" t="s">
        <v>95</v>
      </c>
      <c r="C58" s="45">
        <f>5*C57/(C55+C57)/3.43*100</f>
        <v>4.9999999999999991</v>
      </c>
      <c r="D58" s="14" t="s">
        <v>13</v>
      </c>
      <c r="E58" s="47"/>
    </row>
    <row r="59" spans="1:5" x14ac:dyDescent="0.2">
      <c r="A59" s="48"/>
      <c r="C59" s="49"/>
      <c r="E59" s="48"/>
    </row>
    <row r="60" spans="1:5" x14ac:dyDescent="0.2">
      <c r="A60" s="48"/>
      <c r="C60" s="49"/>
      <c r="E60" s="48"/>
    </row>
  </sheetData>
  <sheetProtection selectLockedCells="1"/>
  <mergeCells count="11">
    <mergeCell ref="A1:E1"/>
    <mergeCell ref="A3:E3"/>
    <mergeCell ref="A8:E8"/>
    <mergeCell ref="A50:D50"/>
    <mergeCell ref="A5:D5"/>
    <mergeCell ref="A4:D4"/>
    <mergeCell ref="A6:D6"/>
    <mergeCell ref="A7:D7"/>
    <mergeCell ref="A2:E2"/>
    <mergeCell ref="A36:E36"/>
    <mergeCell ref="A42:E42"/>
  </mergeCells>
  <pageMargins left="0.75" right="0.5" top="0.75" bottom="0.25" header="0.5" footer="0.25"/>
  <pageSetup scale="96" orientation="portrait" horizontalDpi="4294967292" r:id="rId1"/>
  <headerFooter alignWithMargins="0">
    <oddHeader>&amp;L&amp;F&amp;C&amp;D&amp;R&amp;A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Component Calculator</vt:lpstr>
      <vt:lpstr>'Component Calculator'!Print_Area</vt:lpstr>
    </vt:vector>
  </TitlesOfParts>
  <Company>Allegro MicroSystems,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Allegro Employee</dc:creator>
  <cp:lastModifiedBy>Garvey, Richard</cp:lastModifiedBy>
  <cp:lastPrinted>2015-04-30T15:58:06Z</cp:lastPrinted>
  <dcterms:created xsi:type="dcterms:W3CDTF">2011-05-24T13:36:41Z</dcterms:created>
  <dcterms:modified xsi:type="dcterms:W3CDTF">2015-09-30T12:03:44Z</dcterms:modified>
</cp:coreProperties>
</file>