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5" yWindow="30" windowWidth="18975" windowHeight="12540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Design!$A$1:$I$88</definedName>
    <definedName name="_xlnm.Print_Area" localSheetId="1">Snubber!$A$1:$I$34</definedName>
  </definedNames>
  <calcPr calcId="125725" iterate="1"/>
</workbook>
</file>

<file path=xl/calcChain.xml><?xml version="1.0" encoding="utf-8"?>
<calcChain xmlns="http://schemas.openxmlformats.org/spreadsheetml/2006/main">
  <c r="F4" i="1"/>
  <c r="H114" i="7"/>
  <c r="H113"/>
  <c r="B49" i="1"/>
  <c r="B66" s="1"/>
  <c r="B70" s="1"/>
  <c r="A5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"/>
  <c r="A47"/>
  <c r="B15" i="8"/>
  <c r="AU88" i="7"/>
  <c r="AQ2" i="12"/>
  <c r="W2"/>
  <c r="AG20" s="1"/>
  <c r="C2"/>
  <c r="AP20"/>
  <c r="AP21" s="1"/>
  <c r="V20"/>
  <c r="V21" s="1"/>
  <c r="B20"/>
  <c r="B21" s="1"/>
  <c r="AP5"/>
  <c r="AP6" s="1"/>
  <c r="V6"/>
  <c r="V7" s="1"/>
  <c r="V5"/>
  <c r="B5"/>
  <c r="B6" s="1"/>
  <c r="A32"/>
  <c r="A31"/>
  <c r="A30"/>
  <c r="A29"/>
  <c r="A28"/>
  <c r="A27"/>
  <c r="A26"/>
  <c r="A25"/>
  <c r="A24"/>
  <c r="A23"/>
  <c r="A22"/>
  <c r="A21"/>
  <c r="A20"/>
  <c r="A19"/>
  <c r="A48" i="7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G87"/>
  <c r="R87"/>
  <c r="C87"/>
  <c r="B87"/>
  <c r="AG86"/>
  <c r="R86"/>
  <c r="C86"/>
  <c r="AG85"/>
  <c r="R85"/>
  <c r="C85"/>
  <c r="AG84"/>
  <c r="R84"/>
  <c r="C84"/>
  <c r="AG83"/>
  <c r="R83"/>
  <c r="C83"/>
  <c r="AG82"/>
  <c r="R82"/>
  <c r="C82"/>
  <c r="AG81"/>
  <c r="R81"/>
  <c r="C81"/>
  <c r="AG80"/>
  <c r="R80"/>
  <c r="C80"/>
  <c r="AG79"/>
  <c r="R79"/>
  <c r="C79"/>
  <c r="AG78"/>
  <c r="R78"/>
  <c r="C78"/>
  <c r="AG77"/>
  <c r="R77"/>
  <c r="C77"/>
  <c r="AG76"/>
  <c r="R76"/>
  <c r="C76"/>
  <c r="AG75"/>
  <c r="R75"/>
  <c r="C75"/>
  <c r="AG74"/>
  <c r="R74"/>
  <c r="C74"/>
  <c r="AG73"/>
  <c r="R73"/>
  <c r="C73"/>
  <c r="AG72"/>
  <c r="R72"/>
  <c r="C72"/>
  <c r="AG71"/>
  <c r="R71"/>
  <c r="C71"/>
  <c r="AG70"/>
  <c r="R70"/>
  <c r="C70"/>
  <c r="AG69"/>
  <c r="R69"/>
  <c r="C69"/>
  <c r="AG68"/>
  <c r="R68"/>
  <c r="C68"/>
  <c r="AG67"/>
  <c r="R67"/>
  <c r="C67"/>
  <c r="AG66"/>
  <c r="R66"/>
  <c r="C66"/>
  <c r="AG65"/>
  <c r="R65"/>
  <c r="C65"/>
  <c r="AG64"/>
  <c r="R64"/>
  <c r="C64"/>
  <c r="AG63"/>
  <c r="R63"/>
  <c r="C63"/>
  <c r="AG62"/>
  <c r="R62"/>
  <c r="C62"/>
  <c r="AG61"/>
  <c r="R61"/>
  <c r="C61"/>
  <c r="AG60"/>
  <c r="R60"/>
  <c r="C60"/>
  <c r="AG59"/>
  <c r="R59"/>
  <c r="C59"/>
  <c r="AG58"/>
  <c r="R58"/>
  <c r="C58"/>
  <c r="AG57"/>
  <c r="R57"/>
  <c r="C57"/>
  <c r="AG56"/>
  <c r="R56"/>
  <c r="C56"/>
  <c r="AG55"/>
  <c r="R55"/>
  <c r="C55"/>
  <c r="AG54"/>
  <c r="R54"/>
  <c r="C54"/>
  <c r="AG53"/>
  <c r="R53"/>
  <c r="C53"/>
  <c r="AG52"/>
  <c r="R52"/>
  <c r="C52"/>
  <c r="AG51"/>
  <c r="R51"/>
  <c r="C51"/>
  <c r="AG50"/>
  <c r="R50"/>
  <c r="C50"/>
  <c r="AG49"/>
  <c r="R49"/>
  <c r="C49"/>
  <c r="AG48"/>
  <c r="R48"/>
  <c r="C48"/>
  <c r="AG47"/>
  <c r="R47"/>
  <c r="C47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"/>
  <c r="B4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"/>
  <c r="B12" i="8"/>
  <c r="B13" s="1"/>
  <c r="C5"/>
  <c r="C5" i="7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"/>
  <c r="B67" i="1" l="1"/>
  <c r="AG13" i="12"/>
  <c r="AG25"/>
  <c r="AG5"/>
  <c r="AG14"/>
  <c r="AG26"/>
  <c r="AG17"/>
  <c r="AG9"/>
  <c r="AG29"/>
  <c r="AG21"/>
  <c r="AG6"/>
  <c r="AG4"/>
  <c r="AG10"/>
  <c r="AG30"/>
  <c r="AG22"/>
  <c r="AG15"/>
  <c r="AG11"/>
  <c r="AG7"/>
  <c r="AG31"/>
  <c r="AG27"/>
  <c r="AG23"/>
  <c r="AG19"/>
  <c r="B86" i="7"/>
  <c r="B85" s="1"/>
  <c r="B84" s="1"/>
  <c r="AG16" i="12"/>
  <c r="AG12"/>
  <c r="AG8"/>
  <c r="AG32"/>
  <c r="AG28"/>
  <c r="AG24"/>
  <c r="BA6"/>
  <c r="BA10"/>
  <c r="BA23"/>
  <c r="BA14"/>
  <c r="BA27"/>
  <c r="BA4"/>
  <c r="BA31"/>
  <c r="M24"/>
  <c r="BA15"/>
  <c r="BA11"/>
  <c r="BA7"/>
  <c r="BA32"/>
  <c r="BA28"/>
  <c r="BA24"/>
  <c r="BA20"/>
  <c r="BA16"/>
  <c r="BA12"/>
  <c r="BA8"/>
  <c r="BA19"/>
  <c r="BA29"/>
  <c r="BA25"/>
  <c r="BA21"/>
  <c r="BA17"/>
  <c r="BA13"/>
  <c r="BA9"/>
  <c r="BA5"/>
  <c r="BA30"/>
  <c r="BA26"/>
  <c r="BA22"/>
  <c r="M15"/>
  <c r="M11"/>
  <c r="M7"/>
  <c r="M32"/>
  <c r="M28"/>
  <c r="M20"/>
  <c r="M19"/>
  <c r="M17"/>
  <c r="M13"/>
  <c r="M9"/>
  <c r="M5"/>
  <c r="M30"/>
  <c r="M26"/>
  <c r="M22"/>
  <c r="M16"/>
  <c r="M12"/>
  <c r="M8"/>
  <c r="M29"/>
  <c r="M25"/>
  <c r="M21"/>
  <c r="M4"/>
  <c r="M14"/>
  <c r="M10"/>
  <c r="M6"/>
  <c r="M31"/>
  <c r="M27"/>
  <c r="M23"/>
  <c r="V22"/>
  <c r="B22"/>
  <c r="B7"/>
  <c r="B8" s="1"/>
  <c r="B9" s="1"/>
  <c r="B10" s="1"/>
  <c r="B11" s="1"/>
  <c r="B12" s="1"/>
  <c r="B13" s="1"/>
  <c r="B14" s="1"/>
  <c r="B15" s="1"/>
  <c r="B16" s="1"/>
  <c r="B17" s="1"/>
  <c r="AP22"/>
  <c r="AP23" s="1"/>
  <c r="V23"/>
  <c r="AP7"/>
  <c r="AP8" s="1"/>
  <c r="V8"/>
  <c r="B43" i="7"/>
  <c r="B23" i="12" l="1"/>
  <c r="AP24"/>
  <c r="V24"/>
  <c r="AP9"/>
  <c r="V9"/>
  <c r="B83" i="7"/>
  <c r="B42"/>
  <c r="B37" i="2"/>
  <c r="B24" i="12" l="1"/>
  <c r="B25" s="1"/>
  <c r="AP25"/>
  <c r="V25"/>
  <c r="AP10"/>
  <c r="V10"/>
  <c r="B82" i="7"/>
  <c r="B41"/>
  <c r="B12" i="2"/>
  <c r="D12"/>
  <c r="C12"/>
  <c r="B23" i="1"/>
  <c r="B25" s="1"/>
  <c r="B57"/>
  <c r="B59" s="1"/>
  <c r="D4" i="2"/>
  <c r="B4"/>
  <c r="AP26" i="12" l="1"/>
  <c r="V26"/>
  <c r="B26"/>
  <c r="AP11"/>
  <c r="V11"/>
  <c r="B81" i="7"/>
  <c r="B40"/>
  <c r="C28" i="1"/>
  <c r="B60"/>
  <c r="B28"/>
  <c r="D28"/>
  <c r="AP27" i="12" l="1"/>
  <c r="V27"/>
  <c r="B27"/>
  <c r="AP12"/>
  <c r="V12"/>
  <c r="B80" i="7"/>
  <c r="B79" s="1"/>
  <c r="B39"/>
  <c r="AP28" i="12" l="1"/>
  <c r="V28"/>
  <c r="B28"/>
  <c r="AP13"/>
  <c r="V13"/>
  <c r="B78" i="7"/>
  <c r="B38"/>
  <c r="AP29" i="12" l="1"/>
  <c r="V29"/>
  <c r="B29"/>
  <c r="AP14"/>
  <c r="V14"/>
  <c r="B77" i="7"/>
  <c r="B37"/>
  <c r="B30" i="12" l="1"/>
  <c r="AP30"/>
  <c r="V30"/>
  <c r="AP15"/>
  <c r="V15"/>
  <c r="B76" i="7"/>
  <c r="B36"/>
  <c r="B31" i="12" l="1"/>
  <c r="AP31"/>
  <c r="V31"/>
  <c r="AP16"/>
  <c r="V16"/>
  <c r="B75" i="7"/>
  <c r="B35"/>
  <c r="B32" i="12" l="1"/>
  <c r="AP32"/>
  <c r="V32"/>
  <c r="AP17"/>
  <c r="V17"/>
  <c r="B74" i="7"/>
  <c r="B34"/>
  <c r="B73" l="1"/>
  <c r="B33"/>
  <c r="B72" l="1"/>
  <c r="B32"/>
  <c r="B71" l="1"/>
  <c r="B31"/>
  <c r="B70" l="1"/>
  <c r="B30"/>
  <c r="B69" l="1"/>
  <c r="B29"/>
  <c r="B68" l="1"/>
  <c r="B28"/>
  <c r="B67" l="1"/>
  <c r="B27"/>
  <c r="B66" l="1"/>
  <c r="B26"/>
  <c r="B65" l="1"/>
  <c r="B25"/>
  <c r="B64" l="1"/>
  <c r="B24"/>
  <c r="B63" l="1"/>
  <c r="B23"/>
  <c r="B62" l="1"/>
  <c r="B22"/>
  <c r="B61" l="1"/>
  <c r="B21"/>
  <c r="B60" l="1"/>
  <c r="B20"/>
  <c r="B59" l="1"/>
  <c r="B19"/>
  <c r="B58" l="1"/>
  <c r="B18"/>
  <c r="B57" l="1"/>
  <c r="B17"/>
  <c r="B56" l="1"/>
  <c r="B16"/>
  <c r="B55" l="1"/>
  <c r="B15"/>
  <c r="B54" l="1"/>
  <c r="B14"/>
  <c r="B53" l="1"/>
  <c r="B13"/>
  <c r="B52" l="1"/>
  <c r="B12"/>
  <c r="B51" l="1"/>
  <c r="B11"/>
  <c r="B50" l="1"/>
  <c r="B10"/>
  <c r="B49" l="1"/>
  <c r="B9"/>
  <c r="B48" l="1"/>
  <c r="B8"/>
  <c r="B47" l="1"/>
  <c r="B7"/>
  <c r="B6" l="1"/>
  <c r="B5" l="1"/>
  <c r="B4" l="1"/>
  <c r="B33" i="1" l="1"/>
  <c r="B34"/>
  <c r="C34"/>
  <c r="B35"/>
  <c r="C35"/>
  <c r="B47"/>
  <c r="B62"/>
  <c r="G4" i="7"/>
  <c r="H4"/>
  <c r="J4"/>
  <c r="V4"/>
  <c r="W4"/>
  <c r="Y4"/>
  <c r="AK4"/>
  <c r="AL4"/>
  <c r="AN4"/>
  <c r="G5"/>
  <c r="H5"/>
  <c r="J5"/>
  <c r="V5"/>
  <c r="W5"/>
  <c r="Y5"/>
  <c r="AK5"/>
  <c r="AL5"/>
  <c r="AN5"/>
  <c r="G6"/>
  <c r="H6"/>
  <c r="J6"/>
  <c r="V6"/>
  <c r="W6"/>
  <c r="Y6"/>
  <c r="AK6"/>
  <c r="AL6"/>
  <c r="AN6"/>
  <c r="G7"/>
  <c r="H7"/>
  <c r="J7"/>
  <c r="V7"/>
  <c r="W7"/>
  <c r="Y7"/>
  <c r="AK7"/>
  <c r="AL7"/>
  <c r="AN7"/>
  <c r="G8"/>
  <c r="H8"/>
  <c r="J8"/>
  <c r="V8"/>
  <c r="W8"/>
  <c r="Y8"/>
  <c r="AK8"/>
  <c r="AL8"/>
  <c r="AN8"/>
  <c r="G9"/>
  <c r="H9"/>
  <c r="J9"/>
  <c r="V9"/>
  <c r="W9"/>
  <c r="Y9"/>
  <c r="AK9"/>
  <c r="AL9"/>
  <c r="AN9"/>
  <c r="G10"/>
  <c r="H10"/>
  <c r="J10"/>
  <c r="V10"/>
  <c r="W10"/>
  <c r="Y10"/>
  <c r="AK10"/>
  <c r="AL10"/>
  <c r="AN10"/>
  <c r="G11"/>
  <c r="H11"/>
  <c r="J11"/>
  <c r="V11"/>
  <c r="W11"/>
  <c r="Y11"/>
  <c r="AK11"/>
  <c r="AL11"/>
  <c r="AN11"/>
  <c r="G12"/>
  <c r="H12"/>
  <c r="J12"/>
  <c r="V12"/>
  <c r="W12"/>
  <c r="Y12"/>
  <c r="AK12"/>
  <c r="AL12"/>
  <c r="AN12"/>
  <c r="G13"/>
  <c r="H13"/>
  <c r="J13"/>
  <c r="V13"/>
  <c r="W13"/>
  <c r="Y13"/>
  <c r="AK13"/>
  <c r="AL13"/>
  <c r="AN13"/>
  <c r="G14"/>
  <c r="H14"/>
  <c r="J14"/>
  <c r="V14"/>
  <c r="W14"/>
  <c r="Y14"/>
  <c r="AK14"/>
  <c r="AL14"/>
  <c r="AN14"/>
  <c r="G15"/>
  <c r="H15"/>
  <c r="J15"/>
  <c r="V15"/>
  <c r="W15"/>
  <c r="Y15"/>
  <c r="AK15"/>
  <c r="AL15"/>
  <c r="AN15"/>
  <c r="G16"/>
  <c r="H16"/>
  <c r="J16"/>
  <c r="V16"/>
  <c r="W16"/>
  <c r="Y16"/>
  <c r="AK16"/>
  <c r="AL16"/>
  <c r="AN16"/>
  <c r="G17"/>
  <c r="H17"/>
  <c r="J17"/>
  <c r="V17"/>
  <c r="W17"/>
  <c r="Y17"/>
  <c r="AK17"/>
  <c r="AL17"/>
  <c r="AN17"/>
  <c r="G18"/>
  <c r="H18"/>
  <c r="J18"/>
  <c r="V18"/>
  <c r="W18"/>
  <c r="Y18"/>
  <c r="AK18"/>
  <c r="AL18"/>
  <c r="AN18"/>
  <c r="G19"/>
  <c r="H19"/>
  <c r="J19"/>
  <c r="V19"/>
  <c r="W19"/>
  <c r="Y19"/>
  <c r="AK19"/>
  <c r="AL19"/>
  <c r="AN19"/>
  <c r="G20"/>
  <c r="H20"/>
  <c r="J20"/>
  <c r="V20"/>
  <c r="W20"/>
  <c r="Y20"/>
  <c r="AK20"/>
  <c r="AL20"/>
  <c r="AN20"/>
  <c r="G21"/>
  <c r="H21"/>
  <c r="J21"/>
  <c r="V21"/>
  <c r="W21"/>
  <c r="Y21"/>
  <c r="AK21"/>
  <c r="AL21"/>
  <c r="AN21"/>
  <c r="G22"/>
  <c r="H22"/>
  <c r="J22"/>
  <c r="V22"/>
  <c r="W22"/>
  <c r="Y22"/>
  <c r="AK22"/>
  <c r="AL22"/>
  <c r="AN22"/>
  <c r="G23"/>
  <c r="H23"/>
  <c r="J23"/>
  <c r="V23"/>
  <c r="W23"/>
  <c r="Y23"/>
  <c r="AK23"/>
  <c r="AL23"/>
  <c r="AN23"/>
  <c r="G24"/>
  <c r="H24"/>
  <c r="J24"/>
  <c r="V24"/>
  <c r="W24"/>
  <c r="Y24"/>
  <c r="AK24"/>
  <c r="AL24"/>
  <c r="AN24"/>
  <c r="G25"/>
  <c r="H25"/>
  <c r="J25"/>
  <c r="V25"/>
  <c r="W25"/>
  <c r="Y25"/>
  <c r="AK25"/>
  <c r="AL25"/>
  <c r="AN25"/>
  <c r="G26"/>
  <c r="H26"/>
  <c r="J26"/>
  <c r="V26"/>
  <c r="W26"/>
  <c r="Y26"/>
  <c r="AK26"/>
  <c r="AL26"/>
  <c r="AN26"/>
  <c r="G27"/>
  <c r="H27"/>
  <c r="J27"/>
  <c r="V27"/>
  <c r="W27"/>
  <c r="Y27"/>
  <c r="AK27"/>
  <c r="AL27"/>
  <c r="AN27"/>
  <c r="G28"/>
  <c r="H28"/>
  <c r="J28"/>
  <c r="V28"/>
  <c r="W28"/>
  <c r="Y28"/>
  <c r="AK28"/>
  <c r="AL28"/>
  <c r="AN28"/>
  <c r="G29"/>
  <c r="H29"/>
  <c r="J29"/>
  <c r="V29"/>
  <c r="W29"/>
  <c r="Y29"/>
  <c r="AK29"/>
  <c r="AL29"/>
  <c r="AN29"/>
  <c r="G30"/>
  <c r="H30"/>
  <c r="J30"/>
  <c r="V30"/>
  <c r="W30"/>
  <c r="Y30"/>
  <c r="AK30"/>
  <c r="AL30"/>
  <c r="AN30"/>
  <c r="G31"/>
  <c r="H31"/>
  <c r="J31"/>
  <c r="V31"/>
  <c r="W31"/>
  <c r="Y31"/>
  <c r="AK31"/>
  <c r="AL31"/>
  <c r="AN31"/>
  <c r="G32"/>
  <c r="H32"/>
  <c r="J32"/>
  <c r="V32"/>
  <c r="W32"/>
  <c r="Y32"/>
  <c r="AK32"/>
  <c r="AL32"/>
  <c r="AN32"/>
  <c r="G33"/>
  <c r="H33"/>
  <c r="J33"/>
  <c r="V33"/>
  <c r="W33"/>
  <c r="Y33"/>
  <c r="AK33"/>
  <c r="AL33"/>
  <c r="AN33"/>
  <c r="G34"/>
  <c r="H34"/>
  <c r="J34"/>
  <c r="V34"/>
  <c r="W34"/>
  <c r="Y34"/>
  <c r="AK34"/>
  <c r="AL34"/>
  <c r="AN34"/>
  <c r="G35"/>
  <c r="H35"/>
  <c r="J35"/>
  <c r="V35"/>
  <c r="W35"/>
  <c r="Y35"/>
  <c r="AK35"/>
  <c r="AL35"/>
  <c r="AN35"/>
  <c r="G36"/>
  <c r="H36"/>
  <c r="J36"/>
  <c r="V36"/>
  <c r="W36"/>
  <c r="Y36"/>
  <c r="AK36"/>
  <c r="AL36"/>
  <c r="AN36"/>
  <c r="G37"/>
  <c r="H37"/>
  <c r="J37"/>
  <c r="V37"/>
  <c r="W37"/>
  <c r="Y37"/>
  <c r="AK37"/>
  <c r="AL37"/>
  <c r="AN37"/>
  <c r="G38"/>
  <c r="H38"/>
  <c r="J38"/>
  <c r="V38"/>
  <c r="W38"/>
  <c r="Y38"/>
  <c r="AK38"/>
  <c r="AL38"/>
  <c r="AN38"/>
  <c r="G39"/>
  <c r="H39"/>
  <c r="J39"/>
  <c r="V39"/>
  <c r="W39"/>
  <c r="Y39"/>
  <c r="AK39"/>
  <c r="AL39"/>
  <c r="AN39"/>
  <c r="G40"/>
  <c r="H40"/>
  <c r="J40"/>
  <c r="V40"/>
  <c r="W40"/>
  <c r="Y40"/>
  <c r="AK40"/>
  <c r="AL40"/>
  <c r="AN40"/>
  <c r="G41"/>
  <c r="H41"/>
  <c r="J41"/>
  <c r="V41"/>
  <c r="W41"/>
  <c r="Y41"/>
  <c r="AK41"/>
  <c r="AL41"/>
  <c r="AN41"/>
  <c r="G42"/>
  <c r="H42"/>
  <c r="J42"/>
  <c r="V42"/>
  <c r="W42"/>
  <c r="Y42"/>
  <c r="AK42"/>
  <c r="AL42"/>
  <c r="AN42"/>
  <c r="G43"/>
  <c r="H43"/>
  <c r="J43"/>
  <c r="V43"/>
  <c r="W43"/>
  <c r="Y43"/>
  <c r="AK43"/>
  <c r="AL43"/>
  <c r="AN43"/>
  <c r="G44"/>
  <c r="H44"/>
  <c r="J44"/>
  <c r="V44"/>
  <c r="W44"/>
  <c r="Y44"/>
  <c r="AK44"/>
  <c r="AL44"/>
  <c r="AN44"/>
  <c r="G47"/>
  <c r="H47"/>
  <c r="J47"/>
  <c r="V47"/>
  <c r="W47"/>
  <c r="Y47"/>
  <c r="AK47"/>
  <c r="AL47"/>
  <c r="AN47"/>
  <c r="G48"/>
  <c r="H48"/>
  <c r="J48"/>
  <c r="V48"/>
  <c r="W48"/>
  <c r="Y48"/>
  <c r="AK48"/>
  <c r="AL48"/>
  <c r="AN48"/>
  <c r="G49"/>
  <c r="H49"/>
  <c r="J49"/>
  <c r="V49"/>
  <c r="W49"/>
  <c r="Y49"/>
  <c r="AK49"/>
  <c r="AL49"/>
  <c r="AN49"/>
  <c r="G50"/>
  <c r="H50"/>
  <c r="J50"/>
  <c r="V50"/>
  <c r="W50"/>
  <c r="Y50"/>
  <c r="AK50"/>
  <c r="AL50"/>
  <c r="AN50"/>
  <c r="G51"/>
  <c r="H51"/>
  <c r="J51"/>
  <c r="V51"/>
  <c r="W51"/>
  <c r="Y51"/>
  <c r="AK51"/>
  <c r="AL51"/>
  <c r="AN51"/>
  <c r="G52"/>
  <c r="H52"/>
  <c r="J52"/>
  <c r="V52"/>
  <c r="W52"/>
  <c r="Y52"/>
  <c r="AK52"/>
  <c r="AL52"/>
  <c r="AN52"/>
  <c r="G53"/>
  <c r="H53"/>
  <c r="J53"/>
  <c r="V53"/>
  <c r="W53"/>
  <c r="Y53"/>
  <c r="AK53"/>
  <c r="AL53"/>
  <c r="AN53"/>
  <c r="G54"/>
  <c r="H54"/>
  <c r="J54"/>
  <c r="V54"/>
  <c r="W54"/>
  <c r="Y54"/>
  <c r="AK54"/>
  <c r="AL54"/>
  <c r="AN54"/>
  <c r="G55"/>
  <c r="H55"/>
  <c r="J55"/>
  <c r="V55"/>
  <c r="W55"/>
  <c r="Y55"/>
  <c r="AK55"/>
  <c r="AL55"/>
  <c r="AN55"/>
  <c r="G56"/>
  <c r="H56"/>
  <c r="J56"/>
  <c r="V56"/>
  <c r="W56"/>
  <c r="Y56"/>
  <c r="AK56"/>
  <c r="AL56"/>
  <c r="AN56"/>
  <c r="G57"/>
  <c r="H57"/>
  <c r="J57"/>
  <c r="V57"/>
  <c r="W57"/>
  <c r="Y57"/>
  <c r="AK57"/>
  <c r="AL57"/>
  <c r="AN57"/>
  <c r="G58"/>
  <c r="H58"/>
  <c r="J58"/>
  <c r="V58"/>
  <c r="W58"/>
  <c r="Y58"/>
  <c r="AK58"/>
  <c r="AL58"/>
  <c r="AN58"/>
  <c r="G59"/>
  <c r="H59"/>
  <c r="J59"/>
  <c r="V59"/>
  <c r="W59"/>
  <c r="Y59"/>
  <c r="AK59"/>
  <c r="AL59"/>
  <c r="AN59"/>
  <c r="G60"/>
  <c r="H60"/>
  <c r="J60"/>
  <c r="V60"/>
  <c r="W60"/>
  <c r="Y60"/>
  <c r="AK60"/>
  <c r="AL60"/>
  <c r="AN60"/>
  <c r="G61"/>
  <c r="H61"/>
  <c r="J61"/>
  <c r="V61"/>
  <c r="W61"/>
  <c r="Y61"/>
  <c r="AK61"/>
  <c r="AL61"/>
  <c r="AN61"/>
  <c r="G62"/>
  <c r="H62"/>
  <c r="J62"/>
  <c r="V62"/>
  <c r="W62"/>
  <c r="Y62"/>
  <c r="AK62"/>
  <c r="AL62"/>
  <c r="AN62"/>
  <c r="G63"/>
  <c r="H63"/>
  <c r="J63"/>
  <c r="V63"/>
  <c r="W63"/>
  <c r="Y63"/>
  <c r="AK63"/>
  <c r="AL63"/>
  <c r="AN63"/>
  <c r="G64"/>
  <c r="H64"/>
  <c r="J64"/>
  <c r="V64"/>
  <c r="W64"/>
  <c r="Y64"/>
  <c r="AK64"/>
  <c r="AL64"/>
  <c r="AN64"/>
  <c r="G65"/>
  <c r="H65"/>
  <c r="J65"/>
  <c r="V65"/>
  <c r="W65"/>
  <c r="Y65"/>
  <c r="AK65"/>
  <c r="AL65"/>
  <c r="AN65"/>
  <c r="G66"/>
  <c r="H66"/>
  <c r="J66"/>
  <c r="V66"/>
  <c r="W66"/>
  <c r="Y66"/>
  <c r="AK66"/>
  <c r="AL66"/>
  <c r="AN66"/>
  <c r="G67"/>
  <c r="H67"/>
  <c r="J67"/>
  <c r="V67"/>
  <c r="W67"/>
  <c r="Y67"/>
  <c r="AK67"/>
  <c r="AL67"/>
  <c r="AN67"/>
  <c r="G68"/>
  <c r="H68"/>
  <c r="J68"/>
  <c r="V68"/>
  <c r="W68"/>
  <c r="Y68"/>
  <c r="AK68"/>
  <c r="AL68"/>
  <c r="AN68"/>
  <c r="G69"/>
  <c r="H69"/>
  <c r="J69"/>
  <c r="V69"/>
  <c r="W69"/>
  <c r="Y69"/>
  <c r="AK69"/>
  <c r="AL69"/>
  <c r="AN69"/>
  <c r="G70"/>
  <c r="H70"/>
  <c r="J70"/>
  <c r="V70"/>
  <c r="W70"/>
  <c r="Y70"/>
  <c r="AK70"/>
  <c r="AL70"/>
  <c r="AN70"/>
  <c r="G71"/>
  <c r="H71"/>
  <c r="J71"/>
  <c r="V71"/>
  <c r="W71"/>
  <c r="Y71"/>
  <c r="AK71"/>
  <c r="AL71"/>
  <c r="AN71"/>
  <c r="G72"/>
  <c r="H72"/>
  <c r="J72"/>
  <c r="V72"/>
  <c r="W72"/>
  <c r="Y72"/>
  <c r="AK72"/>
  <c r="AL72"/>
  <c r="AN72"/>
  <c r="G73"/>
  <c r="H73"/>
  <c r="J73"/>
  <c r="V73"/>
  <c r="W73"/>
  <c r="Y73"/>
  <c r="AK73"/>
  <c r="AL73"/>
  <c r="AN73"/>
  <c r="G74"/>
  <c r="H74"/>
  <c r="J74"/>
  <c r="V74"/>
  <c r="W74"/>
  <c r="Y74"/>
  <c r="AK74"/>
  <c r="AL74"/>
  <c r="AN74"/>
  <c r="G75"/>
  <c r="H75"/>
  <c r="J75"/>
  <c r="V75"/>
  <c r="W75"/>
  <c r="Y75"/>
  <c r="AK75"/>
  <c r="AL75"/>
  <c r="AN75"/>
  <c r="G76"/>
  <c r="H76"/>
  <c r="J76"/>
  <c r="V76"/>
  <c r="W76"/>
  <c r="Y76"/>
  <c r="AK76"/>
  <c r="AL76"/>
  <c r="AN76"/>
  <c r="G77"/>
  <c r="H77"/>
  <c r="J77"/>
  <c r="V77"/>
  <c r="W77"/>
  <c r="Y77"/>
  <c r="AK77"/>
  <c r="AL77"/>
  <c r="AN77"/>
  <c r="G78"/>
  <c r="H78"/>
  <c r="J78"/>
  <c r="V78"/>
  <c r="W78"/>
  <c r="Y78"/>
  <c r="AK78"/>
  <c r="AL78"/>
  <c r="AN78"/>
  <c r="G79"/>
  <c r="H79"/>
  <c r="J79"/>
  <c r="V79"/>
  <c r="W79"/>
  <c r="Y79"/>
  <c r="AK79"/>
  <c r="AL79"/>
  <c r="AN79"/>
  <c r="G80"/>
  <c r="H80"/>
  <c r="J80"/>
  <c r="V80"/>
  <c r="W80"/>
  <c r="Y80"/>
  <c r="AK80"/>
  <c r="AL80"/>
  <c r="AN80"/>
  <c r="G81"/>
  <c r="H81"/>
  <c r="J81"/>
  <c r="V81"/>
  <c r="W81"/>
  <c r="Y81"/>
  <c r="AK81"/>
  <c r="AL81"/>
  <c r="AN81"/>
  <c r="G82"/>
  <c r="H82"/>
  <c r="J82"/>
  <c r="V82"/>
  <c r="W82"/>
  <c r="Y82"/>
  <c r="AK82"/>
  <c r="AL82"/>
  <c r="AN82"/>
  <c r="G83"/>
  <c r="H83"/>
  <c r="J83"/>
  <c r="V83"/>
  <c r="W83"/>
  <c r="Y83"/>
  <c r="AK83"/>
  <c r="AL83"/>
  <c r="AN83"/>
  <c r="G84"/>
  <c r="H84"/>
  <c r="J84"/>
  <c r="V84"/>
  <c r="W84"/>
  <c r="Y84"/>
  <c r="AK84"/>
  <c r="AL84"/>
  <c r="AN84"/>
  <c r="G85"/>
  <c r="H85"/>
  <c r="J85"/>
  <c r="V85"/>
  <c r="W85"/>
  <c r="Y85"/>
  <c r="AK85"/>
  <c r="AL85"/>
  <c r="AN85"/>
  <c r="G86"/>
  <c r="H86"/>
  <c r="J86"/>
  <c r="V86"/>
  <c r="W86"/>
  <c r="Y86"/>
  <c r="AK86"/>
  <c r="AL86"/>
  <c r="AN86"/>
  <c r="G87"/>
  <c r="H87"/>
  <c r="J87"/>
  <c r="V87"/>
  <c r="W87"/>
  <c r="Y87"/>
  <c r="AK87"/>
  <c r="AL87"/>
  <c r="AN87"/>
  <c r="F4" i="12"/>
  <c r="G4"/>
  <c r="I4"/>
  <c r="Z4"/>
  <c r="AA4"/>
  <c r="AC4"/>
  <c r="AT4"/>
  <c r="AU4"/>
  <c r="AW4"/>
  <c r="F5"/>
  <c r="G5"/>
  <c r="I5"/>
  <c r="Z5"/>
  <c r="AA5"/>
  <c r="AC5"/>
  <c r="AT5"/>
  <c r="AU5"/>
  <c r="AW5"/>
  <c r="F6"/>
  <c r="G6"/>
  <c r="I6"/>
  <c r="Z6"/>
  <c r="AA6"/>
  <c r="AC6"/>
  <c r="AT6"/>
  <c r="AU6"/>
  <c r="AW6"/>
  <c r="F7"/>
  <c r="G7"/>
  <c r="I7"/>
  <c r="Z7"/>
  <c r="AA7"/>
  <c r="AC7"/>
  <c r="AT7"/>
  <c r="AU7"/>
  <c r="AW7"/>
  <c r="F8"/>
  <c r="G8"/>
  <c r="I8"/>
  <c r="Z8"/>
  <c r="AA8"/>
  <c r="AC8"/>
  <c r="AT8"/>
  <c r="AU8"/>
  <c r="AW8"/>
  <c r="F9"/>
  <c r="G9"/>
  <c r="I9"/>
  <c r="Z9"/>
  <c r="AA9"/>
  <c r="AC9"/>
  <c r="AT9"/>
  <c r="AU9"/>
  <c r="AW9"/>
  <c r="F10"/>
  <c r="G10"/>
  <c r="I10"/>
  <c r="Z10"/>
  <c r="AA10"/>
  <c r="AC10"/>
  <c r="AT10"/>
  <c r="AU10"/>
  <c r="AW10"/>
  <c r="F11"/>
  <c r="G11"/>
  <c r="I11"/>
  <c r="Z11"/>
  <c r="AA11"/>
  <c r="AC11"/>
  <c r="AT11"/>
  <c r="AU11"/>
  <c r="AW11"/>
  <c r="F12"/>
  <c r="G12"/>
  <c r="I12"/>
  <c r="Z12"/>
  <c r="AA12"/>
  <c r="AC12"/>
  <c r="AT12"/>
  <c r="AU12"/>
  <c r="AW12"/>
  <c r="F13"/>
  <c r="G13"/>
  <c r="I13"/>
  <c r="Z13"/>
  <c r="AA13"/>
  <c r="AC13"/>
  <c r="AT13"/>
  <c r="AU13"/>
  <c r="AW13"/>
  <c r="F14"/>
  <c r="G14"/>
  <c r="I14"/>
  <c r="Z14"/>
  <c r="AA14"/>
  <c r="AC14"/>
  <c r="AT14"/>
  <c r="AU14"/>
  <c r="AW14"/>
  <c r="F15"/>
  <c r="G15"/>
  <c r="I15"/>
  <c r="Z15"/>
  <c r="AA15"/>
  <c r="AC15"/>
  <c r="AT15"/>
  <c r="AU15"/>
  <c r="AW15"/>
  <c r="F16"/>
  <c r="G16"/>
  <c r="I16"/>
  <c r="Z16"/>
  <c r="AA16"/>
  <c r="AC16"/>
  <c r="AT16"/>
  <c r="AU16"/>
  <c r="AW16"/>
  <c r="F17"/>
  <c r="G17"/>
  <c r="I17"/>
  <c r="Z17"/>
  <c r="AA17"/>
  <c r="AC17"/>
  <c r="AT17"/>
  <c r="AU17"/>
  <c r="AW17"/>
  <c r="F19"/>
  <c r="G19"/>
  <c r="I19"/>
  <c r="Z19"/>
  <c r="AA19"/>
  <c r="AC19"/>
  <c r="AT19"/>
  <c r="AU19"/>
  <c r="AW19"/>
  <c r="F20"/>
  <c r="G20"/>
  <c r="I20"/>
  <c r="Z20"/>
  <c r="AA20"/>
  <c r="AC20"/>
  <c r="AT20"/>
  <c r="AU20"/>
  <c r="AW20"/>
  <c r="F21"/>
  <c r="G21"/>
  <c r="I21"/>
  <c r="Z21"/>
  <c r="AA21"/>
  <c r="AC21"/>
  <c r="AT21"/>
  <c r="AU21"/>
  <c r="AW21"/>
  <c r="F22"/>
  <c r="G22"/>
  <c r="I22"/>
  <c r="Z22"/>
  <c r="AA22"/>
  <c r="AC22"/>
  <c r="AT22"/>
  <c r="AU22"/>
  <c r="AW22"/>
  <c r="F23"/>
  <c r="G23"/>
  <c r="I23"/>
  <c r="Z23"/>
  <c r="AA23"/>
  <c r="AC23"/>
  <c r="AT23"/>
  <c r="AU23"/>
  <c r="AW23"/>
  <c r="F24"/>
  <c r="G24"/>
  <c r="I24"/>
  <c r="Z24"/>
  <c r="AA24"/>
  <c r="AC24"/>
  <c r="AT24"/>
  <c r="AU24"/>
  <c r="AW24"/>
  <c r="F25"/>
  <c r="G25"/>
  <c r="I25"/>
  <c r="Z25"/>
  <c r="AA25"/>
  <c r="AC25"/>
  <c r="AT25"/>
  <c r="AU25"/>
  <c r="AW25"/>
  <c r="F26"/>
  <c r="G26"/>
  <c r="I26"/>
  <c r="Z26"/>
  <c r="AA26"/>
  <c r="AC26"/>
  <c r="AT26"/>
  <c r="AU26"/>
  <c r="AW26"/>
  <c r="F27"/>
  <c r="G27"/>
  <c r="I27"/>
  <c r="Z27"/>
  <c r="AA27"/>
  <c r="AC27"/>
  <c r="AT27"/>
  <c r="AU27"/>
  <c r="AW27"/>
  <c r="F28"/>
  <c r="G28"/>
  <c r="I28"/>
  <c r="Z28"/>
  <c r="AA28"/>
  <c r="AC28"/>
  <c r="AT28"/>
  <c r="AU28"/>
  <c r="AW28"/>
  <c r="F29"/>
  <c r="G29"/>
  <c r="I29"/>
  <c r="Z29"/>
  <c r="AA29"/>
  <c r="AC29"/>
  <c r="AT29"/>
  <c r="AU29"/>
  <c r="AW29"/>
  <c r="F30"/>
  <c r="G30"/>
  <c r="I30"/>
  <c r="Z30"/>
  <c r="AA30"/>
  <c r="AC30"/>
  <c r="AT30"/>
  <c r="AU30"/>
  <c r="AW30"/>
  <c r="F31"/>
  <c r="G31"/>
  <c r="I31"/>
  <c r="Z31"/>
  <c r="AA31"/>
  <c r="AC31"/>
  <c r="AT31"/>
  <c r="AU31"/>
  <c r="AW31"/>
  <c r="F32"/>
  <c r="G32"/>
  <c r="I32"/>
  <c r="Z32"/>
  <c r="AA32"/>
  <c r="AC32"/>
  <c r="AT32"/>
  <c r="AU32"/>
  <c r="AW32"/>
  <c r="B17" i="8"/>
  <c r="B29" i="1" l="1"/>
  <c r="C29"/>
  <c r="D29"/>
  <c r="B31"/>
  <c r="E32"/>
  <c r="B36"/>
  <c r="B38"/>
  <c r="B41"/>
  <c r="B42"/>
  <c r="B43"/>
  <c r="B44"/>
  <c r="B50"/>
  <c r="B52"/>
  <c r="B54"/>
  <c r="B55"/>
  <c r="B64"/>
  <c r="B65"/>
  <c r="B69"/>
  <c r="D4" i="7"/>
  <c r="E4"/>
  <c r="F4"/>
  <c r="I4"/>
  <c r="K4"/>
  <c r="L4"/>
  <c r="M4"/>
  <c r="N4"/>
  <c r="O4"/>
  <c r="P4"/>
  <c r="Q4"/>
  <c r="S4"/>
  <c r="T4"/>
  <c r="U4"/>
  <c r="X4"/>
  <c r="Z4"/>
  <c r="AA4"/>
  <c r="AB4"/>
  <c r="AC4"/>
  <c r="AD4"/>
  <c r="AE4"/>
  <c r="AF4"/>
  <c r="AH4"/>
  <c r="AI4"/>
  <c r="AJ4"/>
  <c r="AM4"/>
  <c r="AO4"/>
  <c r="AP4"/>
  <c r="AQ4"/>
  <c r="AR4"/>
  <c r="AS4"/>
  <c r="AT4"/>
  <c r="AU4"/>
  <c r="D5"/>
  <c r="E5"/>
  <c r="F5"/>
  <c r="I5"/>
  <c r="K5"/>
  <c r="L5"/>
  <c r="M5"/>
  <c r="N5"/>
  <c r="O5"/>
  <c r="P5"/>
  <c r="Q5"/>
  <c r="S5"/>
  <c r="T5"/>
  <c r="U5"/>
  <c r="X5"/>
  <c r="Z5"/>
  <c r="AA5"/>
  <c r="AB5"/>
  <c r="AC5"/>
  <c r="AD5"/>
  <c r="AE5"/>
  <c r="AF5"/>
  <c r="AH5"/>
  <c r="AI5"/>
  <c r="AJ5"/>
  <c r="AM5"/>
  <c r="AO5"/>
  <c r="AP5"/>
  <c r="AQ5"/>
  <c r="AR5"/>
  <c r="AS5"/>
  <c r="AT5"/>
  <c r="AU5"/>
  <c r="D6"/>
  <c r="E6"/>
  <c r="F6"/>
  <c r="I6"/>
  <c r="K6"/>
  <c r="L6"/>
  <c r="M6"/>
  <c r="N6"/>
  <c r="O6"/>
  <c r="P6"/>
  <c r="Q6"/>
  <c r="S6"/>
  <c r="T6"/>
  <c r="U6"/>
  <c r="X6"/>
  <c r="Z6"/>
  <c r="AA6"/>
  <c r="AB6"/>
  <c r="AC6"/>
  <c r="AD6"/>
  <c r="AE6"/>
  <c r="AF6"/>
  <c r="AH6"/>
  <c r="AI6"/>
  <c r="AJ6"/>
  <c r="AM6"/>
  <c r="AO6"/>
  <c r="AP6"/>
  <c r="AQ6"/>
  <c r="AR6"/>
  <c r="AS6"/>
  <c r="AT6"/>
  <c r="AU6"/>
  <c r="D7"/>
  <c r="E7"/>
  <c r="F7"/>
  <c r="I7"/>
  <c r="K7"/>
  <c r="L7"/>
  <c r="M7"/>
  <c r="N7"/>
  <c r="O7"/>
  <c r="P7"/>
  <c r="Q7"/>
  <c r="S7"/>
  <c r="T7"/>
  <c r="U7"/>
  <c r="X7"/>
  <c r="Z7"/>
  <c r="AA7"/>
  <c r="AB7"/>
  <c r="AC7"/>
  <c r="AD7"/>
  <c r="AE7"/>
  <c r="AF7"/>
  <c r="AH7"/>
  <c r="AI7"/>
  <c r="AJ7"/>
  <c r="AM7"/>
  <c r="AO7"/>
  <c r="AP7"/>
  <c r="AQ7"/>
  <c r="AR7"/>
  <c r="AS7"/>
  <c r="AT7"/>
  <c r="AU7"/>
  <c r="D8"/>
  <c r="E8"/>
  <c r="F8"/>
  <c r="I8"/>
  <c r="K8"/>
  <c r="L8"/>
  <c r="M8"/>
  <c r="N8"/>
  <c r="O8"/>
  <c r="P8"/>
  <c r="Q8"/>
  <c r="S8"/>
  <c r="T8"/>
  <c r="U8"/>
  <c r="X8"/>
  <c r="Z8"/>
  <c r="AA8"/>
  <c r="AB8"/>
  <c r="AC8"/>
  <c r="AD8"/>
  <c r="AE8"/>
  <c r="AF8"/>
  <c r="AH8"/>
  <c r="AI8"/>
  <c r="AJ8"/>
  <c r="AM8"/>
  <c r="AO8"/>
  <c r="AP8"/>
  <c r="AQ8"/>
  <c r="AR8"/>
  <c r="AS8"/>
  <c r="AT8"/>
  <c r="AU8"/>
  <c r="D9"/>
  <c r="E9"/>
  <c r="F9"/>
  <c r="I9"/>
  <c r="K9"/>
  <c r="L9"/>
  <c r="M9"/>
  <c r="N9"/>
  <c r="O9"/>
  <c r="P9"/>
  <c r="Q9"/>
  <c r="S9"/>
  <c r="T9"/>
  <c r="U9"/>
  <c r="X9"/>
  <c r="Z9"/>
  <c r="AA9"/>
  <c r="AB9"/>
  <c r="AC9"/>
  <c r="AD9"/>
  <c r="AE9"/>
  <c r="AF9"/>
  <c r="AH9"/>
  <c r="AI9"/>
  <c r="AJ9"/>
  <c r="AM9"/>
  <c r="AO9"/>
  <c r="AP9"/>
  <c r="AQ9"/>
  <c r="AR9"/>
  <c r="AS9"/>
  <c r="AT9"/>
  <c r="AU9"/>
  <c r="D10"/>
  <c r="E10"/>
  <c r="F10"/>
  <c r="I10"/>
  <c r="K10"/>
  <c r="L10"/>
  <c r="M10"/>
  <c r="N10"/>
  <c r="O10"/>
  <c r="P10"/>
  <c r="Q10"/>
  <c r="S10"/>
  <c r="T10"/>
  <c r="U10"/>
  <c r="X10"/>
  <c r="Z10"/>
  <c r="AA10"/>
  <c r="AB10"/>
  <c r="AC10"/>
  <c r="AD10"/>
  <c r="AE10"/>
  <c r="AF10"/>
  <c r="AH10"/>
  <c r="AI10"/>
  <c r="AJ10"/>
  <c r="AM10"/>
  <c r="AO10"/>
  <c r="AP10"/>
  <c r="AQ10"/>
  <c r="AR10"/>
  <c r="AS10"/>
  <c r="AT10"/>
  <c r="AU10"/>
  <c r="D11"/>
  <c r="E11"/>
  <c r="F11"/>
  <c r="I11"/>
  <c r="K11"/>
  <c r="L11"/>
  <c r="M11"/>
  <c r="N11"/>
  <c r="O11"/>
  <c r="P11"/>
  <c r="Q11"/>
  <c r="S11"/>
  <c r="T11"/>
  <c r="U11"/>
  <c r="X11"/>
  <c r="Z11"/>
  <c r="AA11"/>
  <c r="AB11"/>
  <c r="AC11"/>
  <c r="AD11"/>
  <c r="AE11"/>
  <c r="AF11"/>
  <c r="AH11"/>
  <c r="AI11"/>
  <c r="AJ11"/>
  <c r="AM11"/>
  <c r="AO11"/>
  <c r="AP11"/>
  <c r="AQ11"/>
  <c r="AR11"/>
  <c r="AS11"/>
  <c r="AT11"/>
  <c r="AU11"/>
  <c r="D12"/>
  <c r="E12"/>
  <c r="F12"/>
  <c r="I12"/>
  <c r="K12"/>
  <c r="L12"/>
  <c r="M12"/>
  <c r="N12"/>
  <c r="O12"/>
  <c r="P12"/>
  <c r="Q12"/>
  <c r="S12"/>
  <c r="T12"/>
  <c r="U12"/>
  <c r="X12"/>
  <c r="Z12"/>
  <c r="AA12"/>
  <c r="AB12"/>
  <c r="AC12"/>
  <c r="AD12"/>
  <c r="AE12"/>
  <c r="AF12"/>
  <c r="AH12"/>
  <c r="AI12"/>
  <c r="AJ12"/>
  <c r="AM12"/>
  <c r="AO12"/>
  <c r="AP12"/>
  <c r="AQ12"/>
  <c r="AR12"/>
  <c r="AS12"/>
  <c r="AT12"/>
  <c r="AU12"/>
  <c r="D13"/>
  <c r="E13"/>
  <c r="F13"/>
  <c r="I13"/>
  <c r="K13"/>
  <c r="L13"/>
  <c r="M13"/>
  <c r="N13"/>
  <c r="O13"/>
  <c r="P13"/>
  <c r="Q13"/>
  <c r="S13"/>
  <c r="T13"/>
  <c r="U13"/>
  <c r="X13"/>
  <c r="Z13"/>
  <c r="AA13"/>
  <c r="AB13"/>
  <c r="AC13"/>
  <c r="AD13"/>
  <c r="AE13"/>
  <c r="AF13"/>
  <c r="AH13"/>
  <c r="AI13"/>
  <c r="AJ13"/>
  <c r="AM13"/>
  <c r="AO13"/>
  <c r="AP13"/>
  <c r="AQ13"/>
  <c r="AR13"/>
  <c r="AS13"/>
  <c r="AT13"/>
  <c r="AU13"/>
  <c r="D14"/>
  <c r="E14"/>
  <c r="F14"/>
  <c r="I14"/>
  <c r="K14"/>
  <c r="L14"/>
  <c r="M14"/>
  <c r="N14"/>
  <c r="O14"/>
  <c r="P14"/>
  <c r="Q14"/>
  <c r="S14"/>
  <c r="T14"/>
  <c r="U14"/>
  <c r="X14"/>
  <c r="Z14"/>
  <c r="AA14"/>
  <c r="AB14"/>
  <c r="AC14"/>
  <c r="AD14"/>
  <c r="AE14"/>
  <c r="AF14"/>
  <c r="AH14"/>
  <c r="AI14"/>
  <c r="AJ14"/>
  <c r="AM14"/>
  <c r="AO14"/>
  <c r="AP14"/>
  <c r="AQ14"/>
  <c r="AR14"/>
  <c r="AS14"/>
  <c r="AT14"/>
  <c r="AU14"/>
  <c r="D15"/>
  <c r="E15"/>
  <c r="F15"/>
  <c r="I15"/>
  <c r="K15"/>
  <c r="L15"/>
  <c r="M15"/>
  <c r="N15"/>
  <c r="O15"/>
  <c r="P15"/>
  <c r="Q15"/>
  <c r="S15"/>
  <c r="T15"/>
  <c r="U15"/>
  <c r="X15"/>
  <c r="Z15"/>
  <c r="AA15"/>
  <c r="AB15"/>
  <c r="AC15"/>
  <c r="AD15"/>
  <c r="AE15"/>
  <c r="AF15"/>
  <c r="AH15"/>
  <c r="AI15"/>
  <c r="AJ15"/>
  <c r="AM15"/>
  <c r="AO15"/>
  <c r="AP15"/>
  <c r="AQ15"/>
  <c r="AR15"/>
  <c r="AS15"/>
  <c r="AT15"/>
  <c r="AU15"/>
  <c r="D16"/>
  <c r="E16"/>
  <c r="F16"/>
  <c r="I16"/>
  <c r="K16"/>
  <c r="L16"/>
  <c r="M16"/>
  <c r="N16"/>
  <c r="O16"/>
  <c r="P16"/>
  <c r="Q16"/>
  <c r="S16"/>
  <c r="T16"/>
  <c r="U16"/>
  <c r="X16"/>
  <c r="Z16"/>
  <c r="AA16"/>
  <c r="AB16"/>
  <c r="AC16"/>
  <c r="AD16"/>
  <c r="AE16"/>
  <c r="AF16"/>
  <c r="AH16"/>
  <c r="AI16"/>
  <c r="AJ16"/>
  <c r="AM16"/>
  <c r="AO16"/>
  <c r="AP16"/>
  <c r="AQ16"/>
  <c r="AR16"/>
  <c r="AS16"/>
  <c r="AT16"/>
  <c r="AU16"/>
  <c r="D17"/>
  <c r="E17"/>
  <c r="F17"/>
  <c r="I17"/>
  <c r="K17"/>
  <c r="L17"/>
  <c r="M17"/>
  <c r="N17"/>
  <c r="O17"/>
  <c r="P17"/>
  <c r="Q17"/>
  <c r="S17"/>
  <c r="T17"/>
  <c r="U17"/>
  <c r="X17"/>
  <c r="Z17"/>
  <c r="AA17"/>
  <c r="AB17"/>
  <c r="AC17"/>
  <c r="AD17"/>
  <c r="AE17"/>
  <c r="AF17"/>
  <c r="AH17"/>
  <c r="AI17"/>
  <c r="AJ17"/>
  <c r="AM17"/>
  <c r="AO17"/>
  <c r="AP17"/>
  <c r="AQ17"/>
  <c r="AR17"/>
  <c r="AS17"/>
  <c r="AT17"/>
  <c r="AU17"/>
  <c r="D18"/>
  <c r="E18"/>
  <c r="F18"/>
  <c r="I18"/>
  <c r="K18"/>
  <c r="L18"/>
  <c r="M18"/>
  <c r="N18"/>
  <c r="O18"/>
  <c r="P18"/>
  <c r="Q18"/>
  <c r="S18"/>
  <c r="T18"/>
  <c r="U18"/>
  <c r="X18"/>
  <c r="Z18"/>
  <c r="AA18"/>
  <c r="AB18"/>
  <c r="AC18"/>
  <c r="AD18"/>
  <c r="AE18"/>
  <c r="AF18"/>
  <c r="AH18"/>
  <c r="AI18"/>
  <c r="AJ18"/>
  <c r="AM18"/>
  <c r="AO18"/>
  <c r="AP18"/>
  <c r="AQ18"/>
  <c r="AR18"/>
  <c r="AS18"/>
  <c r="AT18"/>
  <c r="AU18"/>
  <c r="D19"/>
  <c r="E19"/>
  <c r="F19"/>
  <c r="I19"/>
  <c r="K19"/>
  <c r="L19"/>
  <c r="M19"/>
  <c r="N19"/>
  <c r="O19"/>
  <c r="P19"/>
  <c r="Q19"/>
  <c r="S19"/>
  <c r="T19"/>
  <c r="U19"/>
  <c r="X19"/>
  <c r="Z19"/>
  <c r="AA19"/>
  <c r="AB19"/>
  <c r="AC19"/>
  <c r="AD19"/>
  <c r="AE19"/>
  <c r="AF19"/>
  <c r="AH19"/>
  <c r="AI19"/>
  <c r="AJ19"/>
  <c r="AM19"/>
  <c r="AO19"/>
  <c r="AP19"/>
  <c r="AQ19"/>
  <c r="AR19"/>
  <c r="AS19"/>
  <c r="AT19"/>
  <c r="AU19"/>
  <c r="D20"/>
  <c r="E20"/>
  <c r="F20"/>
  <c r="I20"/>
  <c r="K20"/>
  <c r="L20"/>
  <c r="M20"/>
  <c r="N20"/>
  <c r="O20"/>
  <c r="P20"/>
  <c r="Q20"/>
  <c r="S20"/>
  <c r="T20"/>
  <c r="U20"/>
  <c r="X20"/>
  <c r="Z20"/>
  <c r="AA20"/>
  <c r="AB20"/>
  <c r="AC20"/>
  <c r="AD20"/>
  <c r="AE20"/>
  <c r="AF20"/>
  <c r="AH20"/>
  <c r="AI20"/>
  <c r="AJ20"/>
  <c r="AM20"/>
  <c r="AO20"/>
  <c r="AP20"/>
  <c r="AQ20"/>
  <c r="AR20"/>
  <c r="AS20"/>
  <c r="AT20"/>
  <c r="AU20"/>
  <c r="D21"/>
  <c r="E21"/>
  <c r="F21"/>
  <c r="I21"/>
  <c r="K21"/>
  <c r="L21"/>
  <c r="M21"/>
  <c r="N21"/>
  <c r="O21"/>
  <c r="P21"/>
  <c r="Q21"/>
  <c r="S21"/>
  <c r="T21"/>
  <c r="U21"/>
  <c r="X21"/>
  <c r="Z21"/>
  <c r="AA21"/>
  <c r="AB21"/>
  <c r="AC21"/>
  <c r="AD21"/>
  <c r="AE21"/>
  <c r="AF21"/>
  <c r="AH21"/>
  <c r="AI21"/>
  <c r="AJ21"/>
  <c r="AM21"/>
  <c r="AO21"/>
  <c r="AP21"/>
  <c r="AQ21"/>
  <c r="AR21"/>
  <c r="AS21"/>
  <c r="AT21"/>
  <c r="AU21"/>
  <c r="D22"/>
  <c r="E22"/>
  <c r="F22"/>
  <c r="I22"/>
  <c r="K22"/>
  <c r="L22"/>
  <c r="M22"/>
  <c r="N22"/>
  <c r="O22"/>
  <c r="P22"/>
  <c r="Q22"/>
  <c r="S22"/>
  <c r="T22"/>
  <c r="U22"/>
  <c r="X22"/>
  <c r="Z22"/>
  <c r="AA22"/>
  <c r="AB22"/>
  <c r="AC22"/>
  <c r="AD22"/>
  <c r="AE22"/>
  <c r="AF22"/>
  <c r="AH22"/>
  <c r="AI22"/>
  <c r="AJ22"/>
  <c r="AM22"/>
  <c r="AO22"/>
  <c r="AP22"/>
  <c r="AQ22"/>
  <c r="AR22"/>
  <c r="AS22"/>
  <c r="AT22"/>
  <c r="AU22"/>
  <c r="D23"/>
  <c r="E23"/>
  <c r="F23"/>
  <c r="I23"/>
  <c r="K23"/>
  <c r="L23"/>
  <c r="M23"/>
  <c r="N23"/>
  <c r="O23"/>
  <c r="P23"/>
  <c r="Q23"/>
  <c r="S23"/>
  <c r="T23"/>
  <c r="U23"/>
  <c r="X23"/>
  <c r="Z23"/>
  <c r="AA23"/>
  <c r="AB23"/>
  <c r="AC23"/>
  <c r="AD23"/>
  <c r="AE23"/>
  <c r="AF23"/>
  <c r="AH23"/>
  <c r="AI23"/>
  <c r="AJ23"/>
  <c r="AM23"/>
  <c r="AO23"/>
  <c r="AP23"/>
  <c r="AQ23"/>
  <c r="AR23"/>
  <c r="AS23"/>
  <c r="AT23"/>
  <c r="AU23"/>
  <c r="D24"/>
  <c r="E24"/>
  <c r="F24"/>
  <c r="I24"/>
  <c r="K24"/>
  <c r="L24"/>
  <c r="M24"/>
  <c r="N24"/>
  <c r="O24"/>
  <c r="P24"/>
  <c r="Q24"/>
  <c r="S24"/>
  <c r="T24"/>
  <c r="U24"/>
  <c r="X24"/>
  <c r="Z24"/>
  <c r="AA24"/>
  <c r="AB24"/>
  <c r="AC24"/>
  <c r="AD24"/>
  <c r="AE24"/>
  <c r="AF24"/>
  <c r="AH24"/>
  <c r="AI24"/>
  <c r="AJ24"/>
  <c r="AM24"/>
  <c r="AO24"/>
  <c r="AP24"/>
  <c r="AQ24"/>
  <c r="AR24"/>
  <c r="AS24"/>
  <c r="AT24"/>
  <c r="AU24"/>
  <c r="D25"/>
  <c r="E25"/>
  <c r="F25"/>
  <c r="I25"/>
  <c r="K25"/>
  <c r="L25"/>
  <c r="M25"/>
  <c r="N25"/>
  <c r="O25"/>
  <c r="P25"/>
  <c r="Q25"/>
  <c r="S25"/>
  <c r="T25"/>
  <c r="U25"/>
  <c r="X25"/>
  <c r="Z25"/>
  <c r="AA25"/>
  <c r="AB25"/>
  <c r="AC25"/>
  <c r="AD25"/>
  <c r="AE25"/>
  <c r="AF25"/>
  <c r="AH25"/>
  <c r="AI25"/>
  <c r="AJ25"/>
  <c r="AM25"/>
  <c r="AO25"/>
  <c r="AP25"/>
  <c r="AQ25"/>
  <c r="AR25"/>
  <c r="AS25"/>
  <c r="AT25"/>
  <c r="AU25"/>
  <c r="D26"/>
  <c r="E26"/>
  <c r="F26"/>
  <c r="I26"/>
  <c r="K26"/>
  <c r="L26"/>
  <c r="M26"/>
  <c r="N26"/>
  <c r="O26"/>
  <c r="P26"/>
  <c r="Q26"/>
  <c r="S26"/>
  <c r="T26"/>
  <c r="U26"/>
  <c r="X26"/>
  <c r="Z26"/>
  <c r="AA26"/>
  <c r="AB26"/>
  <c r="AC26"/>
  <c r="AD26"/>
  <c r="AE26"/>
  <c r="AF26"/>
  <c r="AH26"/>
  <c r="AI26"/>
  <c r="AJ26"/>
  <c r="AM26"/>
  <c r="AO26"/>
  <c r="AP26"/>
  <c r="AQ26"/>
  <c r="AR26"/>
  <c r="AS26"/>
  <c r="AT26"/>
  <c r="AU26"/>
  <c r="D27"/>
  <c r="E27"/>
  <c r="F27"/>
  <c r="I27"/>
  <c r="K27"/>
  <c r="L27"/>
  <c r="M27"/>
  <c r="N27"/>
  <c r="O27"/>
  <c r="P27"/>
  <c r="Q27"/>
  <c r="S27"/>
  <c r="T27"/>
  <c r="U27"/>
  <c r="X27"/>
  <c r="Z27"/>
  <c r="AA27"/>
  <c r="AB27"/>
  <c r="AC27"/>
  <c r="AD27"/>
  <c r="AE27"/>
  <c r="AF27"/>
  <c r="AH27"/>
  <c r="AI27"/>
  <c r="AJ27"/>
  <c r="AM27"/>
  <c r="AO27"/>
  <c r="AP27"/>
  <c r="AQ27"/>
  <c r="AR27"/>
  <c r="AS27"/>
  <c r="AT27"/>
  <c r="AU27"/>
  <c r="D28"/>
  <c r="E28"/>
  <c r="F28"/>
  <c r="I28"/>
  <c r="K28"/>
  <c r="L28"/>
  <c r="M28"/>
  <c r="N28"/>
  <c r="O28"/>
  <c r="P28"/>
  <c r="Q28"/>
  <c r="S28"/>
  <c r="T28"/>
  <c r="U28"/>
  <c r="X28"/>
  <c r="Z28"/>
  <c r="AA28"/>
  <c r="AB28"/>
  <c r="AC28"/>
  <c r="AD28"/>
  <c r="AE28"/>
  <c r="AF28"/>
  <c r="AH28"/>
  <c r="AI28"/>
  <c r="AJ28"/>
  <c r="AM28"/>
  <c r="AO28"/>
  <c r="AP28"/>
  <c r="AQ28"/>
  <c r="AR28"/>
  <c r="AS28"/>
  <c r="AT28"/>
  <c r="AU28"/>
  <c r="D29"/>
  <c r="E29"/>
  <c r="F29"/>
  <c r="I29"/>
  <c r="K29"/>
  <c r="L29"/>
  <c r="M29"/>
  <c r="N29"/>
  <c r="O29"/>
  <c r="P29"/>
  <c r="Q29"/>
  <c r="S29"/>
  <c r="T29"/>
  <c r="U29"/>
  <c r="X29"/>
  <c r="Z29"/>
  <c r="AA29"/>
  <c r="AB29"/>
  <c r="AC29"/>
  <c r="AD29"/>
  <c r="AE29"/>
  <c r="AF29"/>
  <c r="AH29"/>
  <c r="AI29"/>
  <c r="AJ29"/>
  <c r="AM29"/>
  <c r="AO29"/>
  <c r="AP29"/>
  <c r="AQ29"/>
  <c r="AR29"/>
  <c r="AS29"/>
  <c r="AT29"/>
  <c r="AU29"/>
  <c r="D30"/>
  <c r="E30"/>
  <c r="F30"/>
  <c r="I30"/>
  <c r="K30"/>
  <c r="L30"/>
  <c r="M30"/>
  <c r="N30"/>
  <c r="O30"/>
  <c r="P30"/>
  <c r="Q30"/>
  <c r="S30"/>
  <c r="T30"/>
  <c r="U30"/>
  <c r="X30"/>
  <c r="Z30"/>
  <c r="AA30"/>
  <c r="AB30"/>
  <c r="AC30"/>
  <c r="AD30"/>
  <c r="AE30"/>
  <c r="AF30"/>
  <c r="AH30"/>
  <c r="AI30"/>
  <c r="AJ30"/>
  <c r="AM30"/>
  <c r="AO30"/>
  <c r="AP30"/>
  <c r="AQ30"/>
  <c r="AR30"/>
  <c r="AS30"/>
  <c r="AT30"/>
  <c r="AU30"/>
  <c r="D31"/>
  <c r="E31"/>
  <c r="F31"/>
  <c r="I31"/>
  <c r="K31"/>
  <c r="L31"/>
  <c r="M31"/>
  <c r="N31"/>
  <c r="O31"/>
  <c r="P31"/>
  <c r="Q31"/>
  <c r="S31"/>
  <c r="T31"/>
  <c r="U31"/>
  <c r="X31"/>
  <c r="Z31"/>
  <c r="AA31"/>
  <c r="AB31"/>
  <c r="AC31"/>
  <c r="AD31"/>
  <c r="AE31"/>
  <c r="AF31"/>
  <c r="AH31"/>
  <c r="AI31"/>
  <c r="AJ31"/>
  <c r="AM31"/>
  <c r="AO31"/>
  <c r="AP31"/>
  <c r="AQ31"/>
  <c r="AR31"/>
  <c r="AS31"/>
  <c r="AT31"/>
  <c r="AU31"/>
  <c r="D32"/>
  <c r="E32"/>
  <c r="F32"/>
  <c r="I32"/>
  <c r="K32"/>
  <c r="L32"/>
  <c r="M32"/>
  <c r="N32"/>
  <c r="O32"/>
  <c r="P32"/>
  <c r="Q32"/>
  <c r="S32"/>
  <c r="T32"/>
  <c r="U32"/>
  <c r="X32"/>
  <c r="Z32"/>
  <c r="AA32"/>
  <c r="AB32"/>
  <c r="AC32"/>
  <c r="AD32"/>
  <c r="AE32"/>
  <c r="AF32"/>
  <c r="AH32"/>
  <c r="AI32"/>
  <c r="AJ32"/>
  <c r="AM32"/>
  <c r="AO32"/>
  <c r="AP32"/>
  <c r="AQ32"/>
  <c r="AR32"/>
  <c r="AS32"/>
  <c r="AT32"/>
  <c r="AU32"/>
  <c r="D33"/>
  <c r="E33"/>
  <c r="F33"/>
  <c r="I33"/>
  <c r="K33"/>
  <c r="L33"/>
  <c r="M33"/>
  <c r="N33"/>
  <c r="O33"/>
  <c r="P33"/>
  <c r="Q33"/>
  <c r="S33"/>
  <c r="T33"/>
  <c r="U33"/>
  <c r="X33"/>
  <c r="Z33"/>
  <c r="AA33"/>
  <c r="AB33"/>
  <c r="AC33"/>
  <c r="AD33"/>
  <c r="AE33"/>
  <c r="AF33"/>
  <c r="AH33"/>
  <c r="AI33"/>
  <c r="AJ33"/>
  <c r="AM33"/>
  <c r="AO33"/>
  <c r="AP33"/>
  <c r="AQ33"/>
  <c r="AR33"/>
  <c r="AS33"/>
  <c r="AT33"/>
  <c r="AU33"/>
  <c r="D34"/>
  <c r="E34"/>
  <c r="F34"/>
  <c r="I34"/>
  <c r="K34"/>
  <c r="L34"/>
  <c r="M34"/>
  <c r="N34"/>
  <c r="O34"/>
  <c r="P34"/>
  <c r="Q34"/>
  <c r="S34"/>
  <c r="T34"/>
  <c r="U34"/>
  <c r="X34"/>
  <c r="Z34"/>
  <c r="AA34"/>
  <c r="AB34"/>
  <c r="AC34"/>
  <c r="AD34"/>
  <c r="AE34"/>
  <c r="AF34"/>
  <c r="AH34"/>
  <c r="AI34"/>
  <c r="AJ34"/>
  <c r="AM34"/>
  <c r="AO34"/>
  <c r="AP34"/>
  <c r="AQ34"/>
  <c r="AR34"/>
  <c r="AS34"/>
  <c r="AT34"/>
  <c r="AU34"/>
  <c r="D35"/>
  <c r="E35"/>
  <c r="F35"/>
  <c r="I35"/>
  <c r="K35"/>
  <c r="L35"/>
  <c r="M35"/>
  <c r="N35"/>
  <c r="O35"/>
  <c r="P35"/>
  <c r="Q35"/>
  <c r="S35"/>
  <c r="T35"/>
  <c r="U35"/>
  <c r="X35"/>
  <c r="Z35"/>
  <c r="AA35"/>
  <c r="AB35"/>
  <c r="AC35"/>
  <c r="AD35"/>
  <c r="AE35"/>
  <c r="AF35"/>
  <c r="AH35"/>
  <c r="AI35"/>
  <c r="AJ35"/>
  <c r="AM35"/>
  <c r="AO35"/>
  <c r="AP35"/>
  <c r="AQ35"/>
  <c r="AR35"/>
  <c r="AS35"/>
  <c r="AT35"/>
  <c r="AU35"/>
  <c r="D36"/>
  <c r="E36"/>
  <c r="F36"/>
  <c r="I36"/>
  <c r="K36"/>
  <c r="L36"/>
  <c r="M36"/>
  <c r="N36"/>
  <c r="O36"/>
  <c r="P36"/>
  <c r="Q36"/>
  <c r="S36"/>
  <c r="T36"/>
  <c r="U36"/>
  <c r="X36"/>
  <c r="Z36"/>
  <c r="AA36"/>
  <c r="AB36"/>
  <c r="AC36"/>
  <c r="AD36"/>
  <c r="AE36"/>
  <c r="AF36"/>
  <c r="AH36"/>
  <c r="AI36"/>
  <c r="AJ36"/>
  <c r="AM36"/>
  <c r="AO36"/>
  <c r="AP36"/>
  <c r="AQ36"/>
  <c r="AR36"/>
  <c r="AS36"/>
  <c r="AT36"/>
  <c r="AU36"/>
  <c r="D37"/>
  <c r="E37"/>
  <c r="F37"/>
  <c r="I37"/>
  <c r="K37"/>
  <c r="L37"/>
  <c r="M37"/>
  <c r="N37"/>
  <c r="O37"/>
  <c r="P37"/>
  <c r="Q37"/>
  <c r="S37"/>
  <c r="T37"/>
  <c r="U37"/>
  <c r="X37"/>
  <c r="Z37"/>
  <c r="AA37"/>
  <c r="AB37"/>
  <c r="AC37"/>
  <c r="AD37"/>
  <c r="AE37"/>
  <c r="AF37"/>
  <c r="AH37"/>
  <c r="AI37"/>
  <c r="AJ37"/>
  <c r="AM37"/>
  <c r="AO37"/>
  <c r="AP37"/>
  <c r="AQ37"/>
  <c r="AR37"/>
  <c r="AS37"/>
  <c r="AT37"/>
  <c r="AU37"/>
  <c r="D38"/>
  <c r="E38"/>
  <c r="F38"/>
  <c r="I38"/>
  <c r="K38"/>
  <c r="L38"/>
  <c r="M38"/>
  <c r="N38"/>
  <c r="O38"/>
  <c r="P38"/>
  <c r="Q38"/>
  <c r="S38"/>
  <c r="T38"/>
  <c r="U38"/>
  <c r="X38"/>
  <c r="Z38"/>
  <c r="AA38"/>
  <c r="AB38"/>
  <c r="AC38"/>
  <c r="AD38"/>
  <c r="AE38"/>
  <c r="AF38"/>
  <c r="AH38"/>
  <c r="AI38"/>
  <c r="AJ38"/>
  <c r="AM38"/>
  <c r="AO38"/>
  <c r="AP38"/>
  <c r="AQ38"/>
  <c r="AR38"/>
  <c r="AS38"/>
  <c r="AT38"/>
  <c r="AU38"/>
  <c r="D39"/>
  <c r="E39"/>
  <c r="F39"/>
  <c r="I39"/>
  <c r="K39"/>
  <c r="L39"/>
  <c r="M39"/>
  <c r="N39"/>
  <c r="O39"/>
  <c r="P39"/>
  <c r="Q39"/>
  <c r="S39"/>
  <c r="T39"/>
  <c r="U39"/>
  <c r="X39"/>
  <c r="Z39"/>
  <c r="AA39"/>
  <c r="AB39"/>
  <c r="AC39"/>
  <c r="AD39"/>
  <c r="AE39"/>
  <c r="AF39"/>
  <c r="AH39"/>
  <c r="AI39"/>
  <c r="AJ39"/>
  <c r="AM39"/>
  <c r="AO39"/>
  <c r="AP39"/>
  <c r="AQ39"/>
  <c r="AR39"/>
  <c r="AS39"/>
  <c r="AT39"/>
  <c r="AU39"/>
  <c r="D40"/>
  <c r="E40"/>
  <c r="F40"/>
  <c r="I40"/>
  <c r="K40"/>
  <c r="L40"/>
  <c r="M40"/>
  <c r="N40"/>
  <c r="O40"/>
  <c r="P40"/>
  <c r="Q40"/>
  <c r="S40"/>
  <c r="T40"/>
  <c r="U40"/>
  <c r="X40"/>
  <c r="Z40"/>
  <c r="AA40"/>
  <c r="AB40"/>
  <c r="AC40"/>
  <c r="AD40"/>
  <c r="AE40"/>
  <c r="AF40"/>
  <c r="AH40"/>
  <c r="AI40"/>
  <c r="AJ40"/>
  <c r="AM40"/>
  <c r="AO40"/>
  <c r="AP40"/>
  <c r="AQ40"/>
  <c r="AR40"/>
  <c r="AS40"/>
  <c r="AT40"/>
  <c r="AU40"/>
  <c r="D41"/>
  <c r="E41"/>
  <c r="F41"/>
  <c r="I41"/>
  <c r="K41"/>
  <c r="L41"/>
  <c r="M41"/>
  <c r="N41"/>
  <c r="O41"/>
  <c r="P41"/>
  <c r="Q41"/>
  <c r="S41"/>
  <c r="T41"/>
  <c r="U41"/>
  <c r="X41"/>
  <c r="Z41"/>
  <c r="AA41"/>
  <c r="AB41"/>
  <c r="AC41"/>
  <c r="AD41"/>
  <c r="AE41"/>
  <c r="AF41"/>
  <c r="AH41"/>
  <c r="AI41"/>
  <c r="AJ41"/>
  <c r="AM41"/>
  <c r="AO41"/>
  <c r="AP41"/>
  <c r="AQ41"/>
  <c r="AR41"/>
  <c r="AS41"/>
  <c r="AT41"/>
  <c r="AU41"/>
  <c r="D42"/>
  <c r="E42"/>
  <c r="F42"/>
  <c r="I42"/>
  <c r="K42"/>
  <c r="L42"/>
  <c r="M42"/>
  <c r="N42"/>
  <c r="O42"/>
  <c r="P42"/>
  <c r="Q42"/>
  <c r="S42"/>
  <c r="T42"/>
  <c r="U42"/>
  <c r="X42"/>
  <c r="Z42"/>
  <c r="AA42"/>
  <c r="AB42"/>
  <c r="AC42"/>
  <c r="AD42"/>
  <c r="AE42"/>
  <c r="AF42"/>
  <c r="AH42"/>
  <c r="AI42"/>
  <c r="AJ42"/>
  <c r="AM42"/>
  <c r="AO42"/>
  <c r="AP42"/>
  <c r="AQ42"/>
  <c r="AR42"/>
  <c r="AS42"/>
  <c r="AT42"/>
  <c r="AU42"/>
  <c r="D43"/>
  <c r="E43"/>
  <c r="F43"/>
  <c r="I43"/>
  <c r="K43"/>
  <c r="L43"/>
  <c r="M43"/>
  <c r="N43"/>
  <c r="O43"/>
  <c r="P43"/>
  <c r="Q43"/>
  <c r="S43"/>
  <c r="T43"/>
  <c r="U43"/>
  <c r="X43"/>
  <c r="Z43"/>
  <c r="AA43"/>
  <c r="AB43"/>
  <c r="AC43"/>
  <c r="AD43"/>
  <c r="AE43"/>
  <c r="AF43"/>
  <c r="AH43"/>
  <c r="AI43"/>
  <c r="AJ43"/>
  <c r="AM43"/>
  <c r="AO43"/>
  <c r="AP43"/>
  <c r="AQ43"/>
  <c r="AR43"/>
  <c r="AS43"/>
  <c r="AT43"/>
  <c r="AU43"/>
  <c r="D44"/>
  <c r="E44"/>
  <c r="F44"/>
  <c r="I44"/>
  <c r="K44"/>
  <c r="L44"/>
  <c r="M44"/>
  <c r="N44"/>
  <c r="O44"/>
  <c r="P44"/>
  <c r="Q44"/>
  <c r="S44"/>
  <c r="T44"/>
  <c r="U44"/>
  <c r="X44"/>
  <c r="Z44"/>
  <c r="AA44"/>
  <c r="AB44"/>
  <c r="AC44"/>
  <c r="AD44"/>
  <c r="AE44"/>
  <c r="AF44"/>
  <c r="AH44"/>
  <c r="AI44"/>
  <c r="AJ44"/>
  <c r="AM44"/>
  <c r="AO44"/>
  <c r="AP44"/>
  <c r="AQ44"/>
  <c r="AR44"/>
  <c r="AS44"/>
  <c r="AT44"/>
  <c r="AU44"/>
  <c r="D47"/>
  <c r="E47"/>
  <c r="F47"/>
  <c r="I47"/>
  <c r="K47"/>
  <c r="L47"/>
  <c r="M47"/>
  <c r="N47"/>
  <c r="O47"/>
  <c r="P47"/>
  <c r="Q47"/>
  <c r="S47"/>
  <c r="T47"/>
  <c r="U47"/>
  <c r="X47"/>
  <c r="Z47"/>
  <c r="AA47"/>
  <c r="AB47"/>
  <c r="AC47"/>
  <c r="AD47"/>
  <c r="AE47"/>
  <c r="AF47"/>
  <c r="AH47"/>
  <c r="AI47"/>
  <c r="AJ47"/>
  <c r="AM47"/>
  <c r="AO47"/>
  <c r="AP47"/>
  <c r="AQ47"/>
  <c r="AR47"/>
  <c r="AS47"/>
  <c r="AT47"/>
  <c r="AU47"/>
  <c r="D48"/>
  <c r="E48"/>
  <c r="F48"/>
  <c r="I48"/>
  <c r="K48"/>
  <c r="L48"/>
  <c r="M48"/>
  <c r="N48"/>
  <c r="O48"/>
  <c r="P48"/>
  <c r="Q48"/>
  <c r="S48"/>
  <c r="T48"/>
  <c r="U48"/>
  <c r="X48"/>
  <c r="Z48"/>
  <c r="AA48"/>
  <c r="AB48"/>
  <c r="AC48"/>
  <c r="AD48"/>
  <c r="AE48"/>
  <c r="AF48"/>
  <c r="AH48"/>
  <c r="AI48"/>
  <c r="AJ48"/>
  <c r="AM48"/>
  <c r="AO48"/>
  <c r="AP48"/>
  <c r="AQ48"/>
  <c r="AR48"/>
  <c r="AS48"/>
  <c r="AT48"/>
  <c r="AU48"/>
  <c r="D49"/>
  <c r="E49"/>
  <c r="F49"/>
  <c r="I49"/>
  <c r="K49"/>
  <c r="L49"/>
  <c r="M49"/>
  <c r="N49"/>
  <c r="O49"/>
  <c r="P49"/>
  <c r="Q49"/>
  <c r="S49"/>
  <c r="T49"/>
  <c r="U49"/>
  <c r="X49"/>
  <c r="Z49"/>
  <c r="AA49"/>
  <c r="AB49"/>
  <c r="AC49"/>
  <c r="AD49"/>
  <c r="AE49"/>
  <c r="AF49"/>
  <c r="AH49"/>
  <c r="AI49"/>
  <c r="AJ49"/>
  <c r="AM49"/>
  <c r="AO49"/>
  <c r="AP49"/>
  <c r="AQ49"/>
  <c r="AR49"/>
  <c r="AS49"/>
  <c r="AT49"/>
  <c r="AU49"/>
  <c r="D50"/>
  <c r="E50"/>
  <c r="F50"/>
  <c r="I50"/>
  <c r="K50"/>
  <c r="L50"/>
  <c r="M50"/>
  <c r="N50"/>
  <c r="O50"/>
  <c r="P50"/>
  <c r="Q50"/>
  <c r="S50"/>
  <c r="T50"/>
  <c r="U50"/>
  <c r="X50"/>
  <c r="Z50"/>
  <c r="AA50"/>
  <c r="AB50"/>
  <c r="AC50"/>
  <c r="AD50"/>
  <c r="AE50"/>
  <c r="AF50"/>
  <c r="AH50"/>
  <c r="AI50"/>
  <c r="AJ50"/>
  <c r="AM50"/>
  <c r="AO50"/>
  <c r="AP50"/>
  <c r="AQ50"/>
  <c r="AR50"/>
  <c r="AS50"/>
  <c r="AT50"/>
  <c r="AU50"/>
  <c r="D51"/>
  <c r="E51"/>
  <c r="F51"/>
  <c r="I51"/>
  <c r="K51"/>
  <c r="L51"/>
  <c r="M51"/>
  <c r="N51"/>
  <c r="O51"/>
  <c r="P51"/>
  <c r="Q51"/>
  <c r="S51"/>
  <c r="T51"/>
  <c r="U51"/>
  <c r="X51"/>
  <c r="Z51"/>
  <c r="AA51"/>
  <c r="AB51"/>
  <c r="AC51"/>
  <c r="AD51"/>
  <c r="AE51"/>
  <c r="AF51"/>
  <c r="AH51"/>
  <c r="AI51"/>
  <c r="AJ51"/>
  <c r="AM51"/>
  <c r="AO51"/>
  <c r="AP51"/>
  <c r="AQ51"/>
  <c r="AR51"/>
  <c r="AS51"/>
  <c r="AT51"/>
  <c r="AU51"/>
  <c r="D52"/>
  <c r="E52"/>
  <c r="F52"/>
  <c r="I52"/>
  <c r="K52"/>
  <c r="L52"/>
  <c r="M52"/>
  <c r="N52"/>
  <c r="O52"/>
  <c r="P52"/>
  <c r="Q52"/>
  <c r="S52"/>
  <c r="T52"/>
  <c r="U52"/>
  <c r="X52"/>
  <c r="Z52"/>
  <c r="AA52"/>
  <c r="AB52"/>
  <c r="AC52"/>
  <c r="AD52"/>
  <c r="AE52"/>
  <c r="AF52"/>
  <c r="AH52"/>
  <c r="AI52"/>
  <c r="AJ52"/>
  <c r="AM52"/>
  <c r="AO52"/>
  <c r="AP52"/>
  <c r="AQ52"/>
  <c r="AR52"/>
  <c r="AS52"/>
  <c r="AT52"/>
  <c r="AU52"/>
  <c r="D53"/>
  <c r="E53"/>
  <c r="F53"/>
  <c r="I53"/>
  <c r="K53"/>
  <c r="L53"/>
  <c r="M53"/>
  <c r="N53"/>
  <c r="O53"/>
  <c r="P53"/>
  <c r="Q53"/>
  <c r="S53"/>
  <c r="T53"/>
  <c r="U53"/>
  <c r="X53"/>
  <c r="Z53"/>
  <c r="AA53"/>
  <c r="AB53"/>
  <c r="AC53"/>
  <c r="AD53"/>
  <c r="AE53"/>
  <c r="AF53"/>
  <c r="AH53"/>
  <c r="AI53"/>
  <c r="AJ53"/>
  <c r="AM53"/>
  <c r="AO53"/>
  <c r="AP53"/>
  <c r="AQ53"/>
  <c r="AR53"/>
  <c r="AS53"/>
  <c r="AT53"/>
  <c r="AU53"/>
  <c r="D54"/>
  <c r="E54"/>
  <c r="F54"/>
  <c r="I54"/>
  <c r="K54"/>
  <c r="L54"/>
  <c r="M54"/>
  <c r="N54"/>
  <c r="O54"/>
  <c r="P54"/>
  <c r="Q54"/>
  <c r="S54"/>
  <c r="T54"/>
  <c r="U54"/>
  <c r="X54"/>
  <c r="Z54"/>
  <c r="AA54"/>
  <c r="AB54"/>
  <c r="AC54"/>
  <c r="AD54"/>
  <c r="AE54"/>
  <c r="AF54"/>
  <c r="AH54"/>
  <c r="AI54"/>
  <c r="AJ54"/>
  <c r="AM54"/>
  <c r="AO54"/>
  <c r="AP54"/>
  <c r="AQ54"/>
  <c r="AR54"/>
  <c r="AS54"/>
  <c r="AT54"/>
  <c r="AU54"/>
  <c r="D55"/>
  <c r="E55"/>
  <c r="F55"/>
  <c r="I55"/>
  <c r="K55"/>
  <c r="L55"/>
  <c r="M55"/>
  <c r="N55"/>
  <c r="O55"/>
  <c r="P55"/>
  <c r="Q55"/>
  <c r="S55"/>
  <c r="T55"/>
  <c r="U55"/>
  <c r="X55"/>
  <c r="Z55"/>
  <c r="AA55"/>
  <c r="AB55"/>
  <c r="AC55"/>
  <c r="AD55"/>
  <c r="AE55"/>
  <c r="AF55"/>
  <c r="AH55"/>
  <c r="AI55"/>
  <c r="AJ55"/>
  <c r="AM55"/>
  <c r="AO55"/>
  <c r="AP55"/>
  <c r="AQ55"/>
  <c r="AR55"/>
  <c r="AS55"/>
  <c r="AT55"/>
  <c r="AU55"/>
  <c r="D56"/>
  <c r="E56"/>
  <c r="F56"/>
  <c r="I56"/>
  <c r="K56"/>
  <c r="L56"/>
  <c r="M56"/>
  <c r="N56"/>
  <c r="O56"/>
  <c r="P56"/>
  <c r="Q56"/>
  <c r="S56"/>
  <c r="T56"/>
  <c r="U56"/>
  <c r="X56"/>
  <c r="Z56"/>
  <c r="AA56"/>
  <c r="AB56"/>
  <c r="AC56"/>
  <c r="AD56"/>
  <c r="AE56"/>
  <c r="AF56"/>
  <c r="AH56"/>
  <c r="AI56"/>
  <c r="AJ56"/>
  <c r="AM56"/>
  <c r="AO56"/>
  <c r="AP56"/>
  <c r="AQ56"/>
  <c r="AR56"/>
  <c r="AS56"/>
  <c r="AT56"/>
  <c r="AU56"/>
  <c r="D57"/>
  <c r="E57"/>
  <c r="F57"/>
  <c r="I57"/>
  <c r="K57"/>
  <c r="L57"/>
  <c r="M57"/>
  <c r="N57"/>
  <c r="O57"/>
  <c r="P57"/>
  <c r="Q57"/>
  <c r="S57"/>
  <c r="T57"/>
  <c r="U57"/>
  <c r="X57"/>
  <c r="Z57"/>
  <c r="AA57"/>
  <c r="AB57"/>
  <c r="AC57"/>
  <c r="AD57"/>
  <c r="AE57"/>
  <c r="AF57"/>
  <c r="AH57"/>
  <c r="AI57"/>
  <c r="AJ57"/>
  <c r="AM57"/>
  <c r="AO57"/>
  <c r="AP57"/>
  <c r="AQ57"/>
  <c r="AR57"/>
  <c r="AS57"/>
  <c r="AT57"/>
  <c r="AU57"/>
  <c r="D58"/>
  <c r="E58"/>
  <c r="F58"/>
  <c r="I58"/>
  <c r="K58"/>
  <c r="L58"/>
  <c r="M58"/>
  <c r="N58"/>
  <c r="O58"/>
  <c r="P58"/>
  <c r="Q58"/>
  <c r="S58"/>
  <c r="T58"/>
  <c r="U58"/>
  <c r="X58"/>
  <c r="Z58"/>
  <c r="AA58"/>
  <c r="AB58"/>
  <c r="AC58"/>
  <c r="AD58"/>
  <c r="AE58"/>
  <c r="AF58"/>
  <c r="AH58"/>
  <c r="AI58"/>
  <c r="AJ58"/>
  <c r="AM58"/>
  <c r="AO58"/>
  <c r="AP58"/>
  <c r="AQ58"/>
  <c r="AR58"/>
  <c r="AS58"/>
  <c r="AT58"/>
  <c r="AU58"/>
  <c r="D59"/>
  <c r="E59"/>
  <c r="F59"/>
  <c r="I59"/>
  <c r="K59"/>
  <c r="L59"/>
  <c r="M59"/>
  <c r="N59"/>
  <c r="O59"/>
  <c r="P59"/>
  <c r="Q59"/>
  <c r="S59"/>
  <c r="T59"/>
  <c r="U59"/>
  <c r="X59"/>
  <c r="Z59"/>
  <c r="AA59"/>
  <c r="AB59"/>
  <c r="AC59"/>
  <c r="AD59"/>
  <c r="AE59"/>
  <c r="AF59"/>
  <c r="AH59"/>
  <c r="AI59"/>
  <c r="AJ59"/>
  <c r="AM59"/>
  <c r="AO59"/>
  <c r="AP59"/>
  <c r="AQ59"/>
  <c r="AR59"/>
  <c r="AS59"/>
  <c r="AT59"/>
  <c r="AU59"/>
  <c r="D60"/>
  <c r="E60"/>
  <c r="F60"/>
  <c r="I60"/>
  <c r="K60"/>
  <c r="L60"/>
  <c r="M60"/>
  <c r="N60"/>
  <c r="O60"/>
  <c r="P60"/>
  <c r="Q60"/>
  <c r="S60"/>
  <c r="T60"/>
  <c r="U60"/>
  <c r="X60"/>
  <c r="Z60"/>
  <c r="AA60"/>
  <c r="AB60"/>
  <c r="AC60"/>
  <c r="AD60"/>
  <c r="AE60"/>
  <c r="AF60"/>
  <c r="AH60"/>
  <c r="AI60"/>
  <c r="AJ60"/>
  <c r="AM60"/>
  <c r="AO60"/>
  <c r="AP60"/>
  <c r="AQ60"/>
  <c r="AR60"/>
  <c r="AS60"/>
  <c r="AT60"/>
  <c r="AU60"/>
  <c r="D61"/>
  <c r="E61"/>
  <c r="F61"/>
  <c r="I61"/>
  <c r="K61"/>
  <c r="L61"/>
  <c r="M61"/>
  <c r="N61"/>
  <c r="O61"/>
  <c r="P61"/>
  <c r="Q61"/>
  <c r="S61"/>
  <c r="T61"/>
  <c r="U61"/>
  <c r="X61"/>
  <c r="Z61"/>
  <c r="AA61"/>
  <c r="AB61"/>
  <c r="AC61"/>
  <c r="AD61"/>
  <c r="AE61"/>
  <c r="AF61"/>
  <c r="AH61"/>
  <c r="AI61"/>
  <c r="AJ61"/>
  <c r="AM61"/>
  <c r="AO61"/>
  <c r="AP61"/>
  <c r="AQ61"/>
  <c r="AR61"/>
  <c r="AS61"/>
  <c r="AT61"/>
  <c r="AU61"/>
  <c r="D62"/>
  <c r="E62"/>
  <c r="F62"/>
  <c r="I62"/>
  <c r="K62"/>
  <c r="L62"/>
  <c r="M62"/>
  <c r="N62"/>
  <c r="O62"/>
  <c r="P62"/>
  <c r="Q62"/>
  <c r="S62"/>
  <c r="T62"/>
  <c r="U62"/>
  <c r="X62"/>
  <c r="Z62"/>
  <c r="AA62"/>
  <c r="AB62"/>
  <c r="AC62"/>
  <c r="AD62"/>
  <c r="AE62"/>
  <c r="AF62"/>
  <c r="AH62"/>
  <c r="AI62"/>
  <c r="AJ62"/>
  <c r="AM62"/>
  <c r="AO62"/>
  <c r="AP62"/>
  <c r="AQ62"/>
  <c r="AR62"/>
  <c r="AS62"/>
  <c r="AT62"/>
  <c r="AU62"/>
  <c r="D63"/>
  <c r="E63"/>
  <c r="F63"/>
  <c r="I63"/>
  <c r="K63"/>
  <c r="L63"/>
  <c r="M63"/>
  <c r="N63"/>
  <c r="O63"/>
  <c r="P63"/>
  <c r="Q63"/>
  <c r="S63"/>
  <c r="T63"/>
  <c r="U63"/>
  <c r="X63"/>
  <c r="Z63"/>
  <c r="AA63"/>
  <c r="AB63"/>
  <c r="AC63"/>
  <c r="AD63"/>
  <c r="AE63"/>
  <c r="AF63"/>
  <c r="AH63"/>
  <c r="AI63"/>
  <c r="AJ63"/>
  <c r="AM63"/>
  <c r="AO63"/>
  <c r="AP63"/>
  <c r="AQ63"/>
  <c r="AR63"/>
  <c r="AS63"/>
  <c r="AT63"/>
  <c r="AU63"/>
  <c r="D64"/>
  <c r="E64"/>
  <c r="F64"/>
  <c r="I64"/>
  <c r="K64"/>
  <c r="L64"/>
  <c r="M64"/>
  <c r="N64"/>
  <c r="O64"/>
  <c r="P64"/>
  <c r="Q64"/>
  <c r="S64"/>
  <c r="T64"/>
  <c r="U64"/>
  <c r="X64"/>
  <c r="Z64"/>
  <c r="AA64"/>
  <c r="AB64"/>
  <c r="AC64"/>
  <c r="AD64"/>
  <c r="AE64"/>
  <c r="AF64"/>
  <c r="AH64"/>
  <c r="AI64"/>
  <c r="AJ64"/>
  <c r="AM64"/>
  <c r="AO64"/>
  <c r="AP64"/>
  <c r="AQ64"/>
  <c r="AR64"/>
  <c r="AS64"/>
  <c r="AT64"/>
  <c r="AU64"/>
  <c r="D65"/>
  <c r="E65"/>
  <c r="F65"/>
  <c r="I65"/>
  <c r="K65"/>
  <c r="L65"/>
  <c r="M65"/>
  <c r="N65"/>
  <c r="O65"/>
  <c r="P65"/>
  <c r="Q65"/>
  <c r="S65"/>
  <c r="T65"/>
  <c r="U65"/>
  <c r="X65"/>
  <c r="Z65"/>
  <c r="AA65"/>
  <c r="AB65"/>
  <c r="AC65"/>
  <c r="AD65"/>
  <c r="AE65"/>
  <c r="AF65"/>
  <c r="AH65"/>
  <c r="AI65"/>
  <c r="AJ65"/>
  <c r="AM65"/>
  <c r="AO65"/>
  <c r="AP65"/>
  <c r="AQ65"/>
  <c r="AR65"/>
  <c r="AS65"/>
  <c r="AT65"/>
  <c r="AU65"/>
  <c r="D66"/>
  <c r="E66"/>
  <c r="F66"/>
  <c r="I66"/>
  <c r="K66"/>
  <c r="L66"/>
  <c r="M66"/>
  <c r="N66"/>
  <c r="O66"/>
  <c r="P66"/>
  <c r="Q66"/>
  <c r="S66"/>
  <c r="T66"/>
  <c r="U66"/>
  <c r="X66"/>
  <c r="Z66"/>
  <c r="AA66"/>
  <c r="AB66"/>
  <c r="AC66"/>
  <c r="AD66"/>
  <c r="AE66"/>
  <c r="AF66"/>
  <c r="AH66"/>
  <c r="AI66"/>
  <c r="AJ66"/>
  <c r="AM66"/>
  <c r="AO66"/>
  <c r="AP66"/>
  <c r="AQ66"/>
  <c r="AR66"/>
  <c r="AS66"/>
  <c r="AT66"/>
  <c r="AU66"/>
  <c r="D67"/>
  <c r="E67"/>
  <c r="F67"/>
  <c r="I67"/>
  <c r="K67"/>
  <c r="L67"/>
  <c r="M67"/>
  <c r="N67"/>
  <c r="O67"/>
  <c r="P67"/>
  <c r="Q67"/>
  <c r="S67"/>
  <c r="T67"/>
  <c r="U67"/>
  <c r="X67"/>
  <c r="Z67"/>
  <c r="AA67"/>
  <c r="AB67"/>
  <c r="AC67"/>
  <c r="AD67"/>
  <c r="AE67"/>
  <c r="AF67"/>
  <c r="AH67"/>
  <c r="AI67"/>
  <c r="AJ67"/>
  <c r="AM67"/>
  <c r="AO67"/>
  <c r="AP67"/>
  <c r="AQ67"/>
  <c r="AR67"/>
  <c r="AS67"/>
  <c r="AT67"/>
  <c r="AU67"/>
  <c r="D68"/>
  <c r="E68"/>
  <c r="F68"/>
  <c r="I68"/>
  <c r="K68"/>
  <c r="L68"/>
  <c r="M68"/>
  <c r="N68"/>
  <c r="O68"/>
  <c r="P68"/>
  <c r="Q68"/>
  <c r="S68"/>
  <c r="T68"/>
  <c r="U68"/>
  <c r="X68"/>
  <c r="Z68"/>
  <c r="AA68"/>
  <c r="AB68"/>
  <c r="AC68"/>
  <c r="AD68"/>
  <c r="AE68"/>
  <c r="AF68"/>
  <c r="AH68"/>
  <c r="AI68"/>
  <c r="AJ68"/>
  <c r="AM68"/>
  <c r="AO68"/>
  <c r="AP68"/>
  <c r="AQ68"/>
  <c r="AR68"/>
  <c r="AS68"/>
  <c r="AT68"/>
  <c r="AU68"/>
  <c r="D69"/>
  <c r="E69"/>
  <c r="F69"/>
  <c r="I69"/>
  <c r="K69"/>
  <c r="L69"/>
  <c r="M69"/>
  <c r="N69"/>
  <c r="O69"/>
  <c r="P69"/>
  <c r="Q69"/>
  <c r="S69"/>
  <c r="T69"/>
  <c r="U69"/>
  <c r="X69"/>
  <c r="Z69"/>
  <c r="AA69"/>
  <c r="AB69"/>
  <c r="AC69"/>
  <c r="AD69"/>
  <c r="AE69"/>
  <c r="AF69"/>
  <c r="AH69"/>
  <c r="AI69"/>
  <c r="AJ69"/>
  <c r="AM69"/>
  <c r="AO69"/>
  <c r="AP69"/>
  <c r="AQ69"/>
  <c r="AR69"/>
  <c r="AS69"/>
  <c r="AT69"/>
  <c r="AU69"/>
  <c r="D70"/>
  <c r="E70"/>
  <c r="F70"/>
  <c r="I70"/>
  <c r="K70"/>
  <c r="L70"/>
  <c r="M70"/>
  <c r="N70"/>
  <c r="O70"/>
  <c r="P70"/>
  <c r="Q70"/>
  <c r="S70"/>
  <c r="T70"/>
  <c r="U70"/>
  <c r="X70"/>
  <c r="Z70"/>
  <c r="AA70"/>
  <c r="AB70"/>
  <c r="AC70"/>
  <c r="AD70"/>
  <c r="AE70"/>
  <c r="AF70"/>
  <c r="AH70"/>
  <c r="AI70"/>
  <c r="AJ70"/>
  <c r="AM70"/>
  <c r="AO70"/>
  <c r="AP70"/>
  <c r="AQ70"/>
  <c r="AR70"/>
  <c r="AS70"/>
  <c r="AT70"/>
  <c r="AU70"/>
  <c r="D71"/>
  <c r="E71"/>
  <c r="F71"/>
  <c r="I71"/>
  <c r="K71"/>
  <c r="L71"/>
  <c r="M71"/>
  <c r="N71"/>
  <c r="O71"/>
  <c r="P71"/>
  <c r="Q71"/>
  <c r="S71"/>
  <c r="T71"/>
  <c r="U71"/>
  <c r="X71"/>
  <c r="Z71"/>
  <c r="AA71"/>
  <c r="AB71"/>
  <c r="AC71"/>
  <c r="AD71"/>
  <c r="AE71"/>
  <c r="AF71"/>
  <c r="AH71"/>
  <c r="AI71"/>
  <c r="AJ71"/>
  <c r="AM71"/>
  <c r="AO71"/>
  <c r="AP71"/>
  <c r="AQ71"/>
  <c r="AR71"/>
  <c r="AS71"/>
  <c r="AT71"/>
  <c r="AU71"/>
  <c r="D72"/>
  <c r="E72"/>
  <c r="F72"/>
  <c r="I72"/>
  <c r="K72"/>
  <c r="L72"/>
  <c r="M72"/>
  <c r="N72"/>
  <c r="O72"/>
  <c r="P72"/>
  <c r="Q72"/>
  <c r="S72"/>
  <c r="T72"/>
  <c r="U72"/>
  <c r="X72"/>
  <c r="Z72"/>
  <c r="AA72"/>
  <c r="AB72"/>
  <c r="AC72"/>
  <c r="AD72"/>
  <c r="AE72"/>
  <c r="AF72"/>
  <c r="AH72"/>
  <c r="AI72"/>
  <c r="AJ72"/>
  <c r="AM72"/>
  <c r="AO72"/>
  <c r="AP72"/>
  <c r="AQ72"/>
  <c r="AR72"/>
  <c r="AS72"/>
  <c r="AT72"/>
  <c r="AU72"/>
  <c r="D73"/>
  <c r="E73"/>
  <c r="F73"/>
  <c r="I73"/>
  <c r="K73"/>
  <c r="L73"/>
  <c r="M73"/>
  <c r="N73"/>
  <c r="O73"/>
  <c r="P73"/>
  <c r="Q73"/>
  <c r="S73"/>
  <c r="T73"/>
  <c r="U73"/>
  <c r="X73"/>
  <c r="Z73"/>
  <c r="AA73"/>
  <c r="AB73"/>
  <c r="AC73"/>
  <c r="AD73"/>
  <c r="AE73"/>
  <c r="AF73"/>
  <c r="AH73"/>
  <c r="AI73"/>
  <c r="AJ73"/>
  <c r="AM73"/>
  <c r="AO73"/>
  <c r="AP73"/>
  <c r="AQ73"/>
  <c r="AR73"/>
  <c r="AS73"/>
  <c r="AT73"/>
  <c r="AU73"/>
  <c r="D74"/>
  <c r="E74"/>
  <c r="F74"/>
  <c r="I74"/>
  <c r="K74"/>
  <c r="L74"/>
  <c r="M74"/>
  <c r="N74"/>
  <c r="O74"/>
  <c r="P74"/>
  <c r="Q74"/>
  <c r="S74"/>
  <c r="T74"/>
  <c r="U74"/>
  <c r="X74"/>
  <c r="Z74"/>
  <c r="AA74"/>
  <c r="AB74"/>
  <c r="AC74"/>
  <c r="AD74"/>
  <c r="AE74"/>
  <c r="AF74"/>
  <c r="AH74"/>
  <c r="AI74"/>
  <c r="AJ74"/>
  <c r="AM74"/>
  <c r="AO74"/>
  <c r="AP74"/>
  <c r="AQ74"/>
  <c r="AR74"/>
  <c r="AS74"/>
  <c r="AT74"/>
  <c r="AU74"/>
  <c r="D75"/>
  <c r="E75"/>
  <c r="F75"/>
  <c r="I75"/>
  <c r="K75"/>
  <c r="L75"/>
  <c r="M75"/>
  <c r="N75"/>
  <c r="O75"/>
  <c r="P75"/>
  <c r="Q75"/>
  <c r="S75"/>
  <c r="T75"/>
  <c r="U75"/>
  <c r="X75"/>
  <c r="Z75"/>
  <c r="AA75"/>
  <c r="AB75"/>
  <c r="AC75"/>
  <c r="AD75"/>
  <c r="AE75"/>
  <c r="AF75"/>
  <c r="AH75"/>
  <c r="AI75"/>
  <c r="AJ75"/>
  <c r="AM75"/>
  <c r="AO75"/>
  <c r="AP75"/>
  <c r="AQ75"/>
  <c r="AR75"/>
  <c r="AS75"/>
  <c r="AT75"/>
  <c r="AU75"/>
  <c r="D76"/>
  <c r="E76"/>
  <c r="F76"/>
  <c r="I76"/>
  <c r="K76"/>
  <c r="L76"/>
  <c r="M76"/>
  <c r="N76"/>
  <c r="O76"/>
  <c r="P76"/>
  <c r="Q76"/>
  <c r="S76"/>
  <c r="T76"/>
  <c r="U76"/>
  <c r="X76"/>
  <c r="Z76"/>
  <c r="AA76"/>
  <c r="AB76"/>
  <c r="AC76"/>
  <c r="AD76"/>
  <c r="AE76"/>
  <c r="AF76"/>
  <c r="AH76"/>
  <c r="AI76"/>
  <c r="AJ76"/>
  <c r="AM76"/>
  <c r="AO76"/>
  <c r="AP76"/>
  <c r="AQ76"/>
  <c r="AR76"/>
  <c r="AS76"/>
  <c r="AT76"/>
  <c r="AU76"/>
  <c r="D77"/>
  <c r="E77"/>
  <c r="F77"/>
  <c r="I77"/>
  <c r="K77"/>
  <c r="L77"/>
  <c r="M77"/>
  <c r="N77"/>
  <c r="O77"/>
  <c r="P77"/>
  <c r="Q77"/>
  <c r="S77"/>
  <c r="T77"/>
  <c r="U77"/>
  <c r="X77"/>
  <c r="Z77"/>
  <c r="AA77"/>
  <c r="AB77"/>
  <c r="AC77"/>
  <c r="AD77"/>
  <c r="AE77"/>
  <c r="AF77"/>
  <c r="AH77"/>
  <c r="AI77"/>
  <c r="AJ77"/>
  <c r="AM77"/>
  <c r="AO77"/>
  <c r="AP77"/>
  <c r="AQ77"/>
  <c r="AR77"/>
  <c r="AS77"/>
  <c r="AT77"/>
  <c r="AU77"/>
  <c r="D78"/>
  <c r="E78"/>
  <c r="F78"/>
  <c r="I78"/>
  <c r="K78"/>
  <c r="L78"/>
  <c r="M78"/>
  <c r="N78"/>
  <c r="O78"/>
  <c r="P78"/>
  <c r="Q78"/>
  <c r="S78"/>
  <c r="T78"/>
  <c r="U78"/>
  <c r="X78"/>
  <c r="Z78"/>
  <c r="AA78"/>
  <c r="AB78"/>
  <c r="AC78"/>
  <c r="AD78"/>
  <c r="AE78"/>
  <c r="AF78"/>
  <c r="AH78"/>
  <c r="AI78"/>
  <c r="AJ78"/>
  <c r="AM78"/>
  <c r="AO78"/>
  <c r="AP78"/>
  <c r="AQ78"/>
  <c r="AR78"/>
  <c r="AS78"/>
  <c r="AT78"/>
  <c r="AU78"/>
  <c r="D79"/>
  <c r="E79"/>
  <c r="F79"/>
  <c r="I79"/>
  <c r="K79"/>
  <c r="L79"/>
  <c r="M79"/>
  <c r="N79"/>
  <c r="O79"/>
  <c r="P79"/>
  <c r="Q79"/>
  <c r="S79"/>
  <c r="T79"/>
  <c r="U79"/>
  <c r="X79"/>
  <c r="Z79"/>
  <c r="AA79"/>
  <c r="AB79"/>
  <c r="AC79"/>
  <c r="AD79"/>
  <c r="AE79"/>
  <c r="AF79"/>
  <c r="AH79"/>
  <c r="AI79"/>
  <c r="AJ79"/>
  <c r="AM79"/>
  <c r="AO79"/>
  <c r="AP79"/>
  <c r="AQ79"/>
  <c r="AR79"/>
  <c r="AS79"/>
  <c r="AT79"/>
  <c r="AU79"/>
  <c r="D80"/>
  <c r="E80"/>
  <c r="F80"/>
  <c r="I80"/>
  <c r="K80"/>
  <c r="L80"/>
  <c r="M80"/>
  <c r="N80"/>
  <c r="O80"/>
  <c r="P80"/>
  <c r="Q80"/>
  <c r="S80"/>
  <c r="T80"/>
  <c r="U80"/>
  <c r="X80"/>
  <c r="Z80"/>
  <c r="AA80"/>
  <c r="AB80"/>
  <c r="AC80"/>
  <c r="AD80"/>
  <c r="AE80"/>
  <c r="AF80"/>
  <c r="AH80"/>
  <c r="AI80"/>
  <c r="AJ80"/>
  <c r="AM80"/>
  <c r="AO80"/>
  <c r="AP80"/>
  <c r="AQ80"/>
  <c r="AR80"/>
  <c r="AS80"/>
  <c r="AT80"/>
  <c r="AU80"/>
  <c r="D81"/>
  <c r="E81"/>
  <c r="F81"/>
  <c r="I81"/>
  <c r="K81"/>
  <c r="L81"/>
  <c r="M81"/>
  <c r="N81"/>
  <c r="O81"/>
  <c r="P81"/>
  <c r="Q81"/>
  <c r="S81"/>
  <c r="T81"/>
  <c r="U81"/>
  <c r="X81"/>
  <c r="Z81"/>
  <c r="AA81"/>
  <c r="AB81"/>
  <c r="AC81"/>
  <c r="AD81"/>
  <c r="AE81"/>
  <c r="AF81"/>
  <c r="AH81"/>
  <c r="AI81"/>
  <c r="AJ81"/>
  <c r="AM81"/>
  <c r="AO81"/>
  <c r="AP81"/>
  <c r="AQ81"/>
  <c r="AR81"/>
  <c r="AS81"/>
  <c r="AT81"/>
  <c r="AU81"/>
  <c r="D82"/>
  <c r="E82"/>
  <c r="F82"/>
  <c r="I82"/>
  <c r="K82"/>
  <c r="L82"/>
  <c r="M82"/>
  <c r="N82"/>
  <c r="O82"/>
  <c r="P82"/>
  <c r="Q82"/>
  <c r="S82"/>
  <c r="T82"/>
  <c r="U82"/>
  <c r="X82"/>
  <c r="Z82"/>
  <c r="AA82"/>
  <c r="AB82"/>
  <c r="AC82"/>
  <c r="AD82"/>
  <c r="AE82"/>
  <c r="AF82"/>
  <c r="AH82"/>
  <c r="AI82"/>
  <c r="AJ82"/>
  <c r="AM82"/>
  <c r="AO82"/>
  <c r="AP82"/>
  <c r="AQ82"/>
  <c r="AR82"/>
  <c r="AS82"/>
  <c r="AT82"/>
  <c r="AU82"/>
  <c r="D83"/>
  <c r="E83"/>
  <c r="F83"/>
  <c r="I83"/>
  <c r="K83"/>
  <c r="L83"/>
  <c r="M83"/>
  <c r="N83"/>
  <c r="O83"/>
  <c r="P83"/>
  <c r="Q83"/>
  <c r="S83"/>
  <c r="T83"/>
  <c r="U83"/>
  <c r="X83"/>
  <c r="Z83"/>
  <c r="AA83"/>
  <c r="AB83"/>
  <c r="AC83"/>
  <c r="AD83"/>
  <c r="AE83"/>
  <c r="AF83"/>
  <c r="AH83"/>
  <c r="AI83"/>
  <c r="AJ83"/>
  <c r="AM83"/>
  <c r="AO83"/>
  <c r="AP83"/>
  <c r="AQ83"/>
  <c r="AR83"/>
  <c r="AS83"/>
  <c r="AT83"/>
  <c r="AU83"/>
  <c r="D84"/>
  <c r="E84"/>
  <c r="F84"/>
  <c r="I84"/>
  <c r="K84"/>
  <c r="L84"/>
  <c r="M84"/>
  <c r="N84"/>
  <c r="O84"/>
  <c r="P84"/>
  <c r="Q84"/>
  <c r="S84"/>
  <c r="T84"/>
  <c r="U84"/>
  <c r="X84"/>
  <c r="Z84"/>
  <c r="AA84"/>
  <c r="AB84"/>
  <c r="AC84"/>
  <c r="AD84"/>
  <c r="AE84"/>
  <c r="AF84"/>
  <c r="AH84"/>
  <c r="AI84"/>
  <c r="AJ84"/>
  <c r="AM84"/>
  <c r="AO84"/>
  <c r="AP84"/>
  <c r="AQ84"/>
  <c r="AR84"/>
  <c r="AS84"/>
  <c r="AT84"/>
  <c r="AU84"/>
  <c r="D85"/>
  <c r="E85"/>
  <c r="F85"/>
  <c r="I85"/>
  <c r="K85"/>
  <c r="L85"/>
  <c r="M85"/>
  <c r="N85"/>
  <c r="O85"/>
  <c r="P85"/>
  <c r="Q85"/>
  <c r="S85"/>
  <c r="T85"/>
  <c r="U85"/>
  <c r="X85"/>
  <c r="Z85"/>
  <c r="AA85"/>
  <c r="AB85"/>
  <c r="AC85"/>
  <c r="AD85"/>
  <c r="AE85"/>
  <c r="AF85"/>
  <c r="AH85"/>
  <c r="AI85"/>
  <c r="AJ85"/>
  <c r="AM85"/>
  <c r="AO85"/>
  <c r="AP85"/>
  <c r="AQ85"/>
  <c r="AR85"/>
  <c r="AS85"/>
  <c r="AT85"/>
  <c r="AU85"/>
  <c r="D86"/>
  <c r="E86"/>
  <c r="F86"/>
  <c r="I86"/>
  <c r="K86"/>
  <c r="L86"/>
  <c r="M86"/>
  <c r="N86"/>
  <c r="O86"/>
  <c r="P86"/>
  <c r="Q86"/>
  <c r="S86"/>
  <c r="T86"/>
  <c r="U86"/>
  <c r="X86"/>
  <c r="Z86"/>
  <c r="AA86"/>
  <c r="AB86"/>
  <c r="AC86"/>
  <c r="AD86"/>
  <c r="AE86"/>
  <c r="AF86"/>
  <c r="AH86"/>
  <c r="AI86"/>
  <c r="AJ86"/>
  <c r="AM86"/>
  <c r="AO86"/>
  <c r="AP86"/>
  <c r="AQ86"/>
  <c r="AR86"/>
  <c r="AS86"/>
  <c r="AT86"/>
  <c r="AU86"/>
  <c r="D87"/>
  <c r="E87"/>
  <c r="F87"/>
  <c r="I87"/>
  <c r="K87"/>
  <c r="L87"/>
  <c r="M87"/>
  <c r="N87"/>
  <c r="O87"/>
  <c r="P87"/>
  <c r="Q87"/>
  <c r="S87"/>
  <c r="T87"/>
  <c r="U87"/>
  <c r="X87"/>
  <c r="Z87"/>
  <c r="AA87"/>
  <c r="AB87"/>
  <c r="AC87"/>
  <c r="AD87"/>
  <c r="AE87"/>
  <c r="AF87"/>
  <c r="AH87"/>
  <c r="AI87"/>
  <c r="AJ87"/>
  <c r="AM87"/>
  <c r="AO87"/>
  <c r="AP87"/>
  <c r="AQ87"/>
  <c r="AR87"/>
  <c r="AS87"/>
  <c r="AT87"/>
  <c r="AU87"/>
  <c r="C4" i="12"/>
  <c r="D4"/>
  <c r="E4"/>
  <c r="H4"/>
  <c r="J4"/>
  <c r="K4"/>
  <c r="L4"/>
  <c r="N4"/>
  <c r="O4"/>
  <c r="P4"/>
  <c r="Q4"/>
  <c r="R4"/>
  <c r="S4"/>
  <c r="T4"/>
  <c r="U4"/>
  <c r="W4"/>
  <c r="X4"/>
  <c r="Y4"/>
  <c r="AB4"/>
  <c r="AD4"/>
  <c r="AE4"/>
  <c r="AF4"/>
  <c r="AH4"/>
  <c r="AI4"/>
  <c r="AJ4"/>
  <c r="AK4"/>
  <c r="AL4"/>
  <c r="AM4"/>
  <c r="AN4"/>
  <c r="AO4"/>
  <c r="AQ4"/>
  <c r="AR4"/>
  <c r="AS4"/>
  <c r="AV4"/>
  <c r="AX4"/>
  <c r="AY4"/>
  <c r="AZ4"/>
  <c r="BB4"/>
  <c r="BC4"/>
  <c r="BD4"/>
  <c r="BE4"/>
  <c r="BF4"/>
  <c r="BG4"/>
  <c r="BH4"/>
  <c r="BI4"/>
  <c r="C5"/>
  <c r="D5"/>
  <c r="E5"/>
  <c r="H5"/>
  <c r="J5"/>
  <c r="K5"/>
  <c r="L5"/>
  <c r="N5"/>
  <c r="O5"/>
  <c r="P5"/>
  <c r="Q5"/>
  <c r="R5"/>
  <c r="S5"/>
  <c r="T5"/>
  <c r="U5"/>
  <c r="W5"/>
  <c r="X5"/>
  <c r="Y5"/>
  <c r="AB5"/>
  <c r="AD5"/>
  <c r="AE5"/>
  <c r="AF5"/>
  <c r="AH5"/>
  <c r="AI5"/>
  <c r="AJ5"/>
  <c r="AK5"/>
  <c r="AL5"/>
  <c r="AM5"/>
  <c r="AN5"/>
  <c r="AO5"/>
  <c r="AQ5"/>
  <c r="AR5"/>
  <c r="AS5"/>
  <c r="AV5"/>
  <c r="AX5"/>
  <c r="AY5"/>
  <c r="AZ5"/>
  <c r="BB5"/>
  <c r="BC5"/>
  <c r="BD5"/>
  <c r="BE5"/>
  <c r="BF5"/>
  <c r="BG5"/>
  <c r="BH5"/>
  <c r="BI5"/>
  <c r="C6"/>
  <c r="D6"/>
  <c r="E6"/>
  <c r="H6"/>
  <c r="J6"/>
  <c r="K6"/>
  <c r="L6"/>
  <c r="N6"/>
  <c r="O6"/>
  <c r="P6"/>
  <c r="Q6"/>
  <c r="R6"/>
  <c r="S6"/>
  <c r="T6"/>
  <c r="U6"/>
  <c r="W6"/>
  <c r="X6"/>
  <c r="Y6"/>
  <c r="AB6"/>
  <c r="AD6"/>
  <c r="AE6"/>
  <c r="AF6"/>
  <c r="AH6"/>
  <c r="AI6"/>
  <c r="AJ6"/>
  <c r="AK6"/>
  <c r="AL6"/>
  <c r="AM6"/>
  <c r="AN6"/>
  <c r="AO6"/>
  <c r="AQ6"/>
  <c r="AR6"/>
  <c r="AS6"/>
  <c r="AV6"/>
  <c r="AX6"/>
  <c r="AY6"/>
  <c r="AZ6"/>
  <c r="BB6"/>
  <c r="BC6"/>
  <c r="BD6"/>
  <c r="BE6"/>
  <c r="BF6"/>
  <c r="BG6"/>
  <c r="BH6"/>
  <c r="BI6"/>
  <c r="C7"/>
  <c r="D7"/>
  <c r="E7"/>
  <c r="H7"/>
  <c r="J7"/>
  <c r="K7"/>
  <c r="L7"/>
  <c r="N7"/>
  <c r="O7"/>
  <c r="P7"/>
  <c r="Q7"/>
  <c r="R7"/>
  <c r="S7"/>
  <c r="T7"/>
  <c r="U7"/>
  <c r="W7"/>
  <c r="X7"/>
  <c r="Y7"/>
  <c r="AB7"/>
  <c r="AD7"/>
  <c r="AE7"/>
  <c r="AF7"/>
  <c r="AH7"/>
  <c r="AI7"/>
  <c r="AJ7"/>
  <c r="AK7"/>
  <c r="AL7"/>
  <c r="AM7"/>
  <c r="AN7"/>
  <c r="AO7"/>
  <c r="AQ7"/>
  <c r="AR7"/>
  <c r="AS7"/>
  <c r="AV7"/>
  <c r="AX7"/>
  <c r="AY7"/>
  <c r="AZ7"/>
  <c r="BB7"/>
  <c r="BC7"/>
  <c r="BD7"/>
  <c r="BE7"/>
  <c r="BF7"/>
  <c r="BG7"/>
  <c r="BH7"/>
  <c r="BI7"/>
  <c r="C8"/>
  <c r="D8"/>
  <c r="E8"/>
  <c r="H8"/>
  <c r="J8"/>
  <c r="K8"/>
  <c r="L8"/>
  <c r="N8"/>
  <c r="O8"/>
  <c r="P8"/>
  <c r="Q8"/>
  <c r="R8"/>
  <c r="S8"/>
  <c r="T8"/>
  <c r="U8"/>
  <c r="W8"/>
  <c r="X8"/>
  <c r="Y8"/>
  <c r="AB8"/>
  <c r="AD8"/>
  <c r="AE8"/>
  <c r="AF8"/>
  <c r="AH8"/>
  <c r="AI8"/>
  <c r="AJ8"/>
  <c r="AK8"/>
  <c r="AL8"/>
  <c r="AM8"/>
  <c r="AN8"/>
  <c r="AO8"/>
  <c r="AQ8"/>
  <c r="AR8"/>
  <c r="AS8"/>
  <c r="AV8"/>
  <c r="AX8"/>
  <c r="AY8"/>
  <c r="AZ8"/>
  <c r="BB8"/>
  <c r="BC8"/>
  <c r="BD8"/>
  <c r="BE8"/>
  <c r="BF8"/>
  <c r="BG8"/>
  <c r="BH8"/>
  <c r="BI8"/>
  <c r="C9"/>
  <c r="D9"/>
  <c r="E9"/>
  <c r="H9"/>
  <c r="J9"/>
  <c r="K9"/>
  <c r="L9"/>
  <c r="N9"/>
  <c r="O9"/>
  <c r="P9"/>
  <c r="Q9"/>
  <c r="R9"/>
  <c r="S9"/>
  <c r="T9"/>
  <c r="U9"/>
  <c r="W9"/>
  <c r="X9"/>
  <c r="Y9"/>
  <c r="AB9"/>
  <c r="AD9"/>
  <c r="AE9"/>
  <c r="AF9"/>
  <c r="AH9"/>
  <c r="AI9"/>
  <c r="AJ9"/>
  <c r="AK9"/>
  <c r="AL9"/>
  <c r="AM9"/>
  <c r="AN9"/>
  <c r="AO9"/>
  <c r="AQ9"/>
  <c r="AR9"/>
  <c r="AS9"/>
  <c r="AV9"/>
  <c r="AX9"/>
  <c r="AY9"/>
  <c r="AZ9"/>
  <c r="BB9"/>
  <c r="BC9"/>
  <c r="BD9"/>
  <c r="BE9"/>
  <c r="BF9"/>
  <c r="BG9"/>
  <c r="BH9"/>
  <c r="BI9"/>
  <c r="C10"/>
  <c r="D10"/>
  <c r="E10"/>
  <c r="H10"/>
  <c r="J10"/>
  <c r="K10"/>
  <c r="L10"/>
  <c r="N10"/>
  <c r="O10"/>
  <c r="P10"/>
  <c r="Q10"/>
  <c r="R10"/>
  <c r="S10"/>
  <c r="T10"/>
  <c r="U10"/>
  <c r="W10"/>
  <c r="X10"/>
  <c r="Y10"/>
  <c r="AB10"/>
  <c r="AD10"/>
  <c r="AE10"/>
  <c r="AF10"/>
  <c r="AH10"/>
  <c r="AI10"/>
  <c r="AJ10"/>
  <c r="AK10"/>
  <c r="AL10"/>
  <c r="AM10"/>
  <c r="AN10"/>
  <c r="AO10"/>
  <c r="AQ10"/>
  <c r="AR10"/>
  <c r="AS10"/>
  <c r="AV10"/>
  <c r="AX10"/>
  <c r="AY10"/>
  <c r="AZ10"/>
  <c r="BB10"/>
  <c r="BC10"/>
  <c r="BD10"/>
  <c r="BE10"/>
  <c r="BF10"/>
  <c r="BG10"/>
  <c r="BH10"/>
  <c r="BI10"/>
  <c r="C11"/>
  <c r="D11"/>
  <c r="E11"/>
  <c r="H11"/>
  <c r="J11"/>
  <c r="K11"/>
  <c r="L11"/>
  <c r="N11"/>
  <c r="O11"/>
  <c r="P11"/>
  <c r="Q11"/>
  <c r="R11"/>
  <c r="S11"/>
  <c r="T11"/>
  <c r="U11"/>
  <c r="W11"/>
  <c r="X11"/>
  <c r="Y11"/>
  <c r="AB11"/>
  <c r="AD11"/>
  <c r="AE11"/>
  <c r="AF11"/>
  <c r="AH11"/>
  <c r="AI11"/>
  <c r="AJ11"/>
  <c r="AK11"/>
  <c r="AL11"/>
  <c r="AM11"/>
  <c r="AN11"/>
  <c r="AO11"/>
  <c r="AQ11"/>
  <c r="AR11"/>
  <c r="AS11"/>
  <c r="AV11"/>
  <c r="AX11"/>
  <c r="AY11"/>
  <c r="AZ11"/>
  <c r="BB11"/>
  <c r="BC11"/>
  <c r="BD11"/>
  <c r="BE11"/>
  <c r="BF11"/>
  <c r="BG11"/>
  <c r="BH11"/>
  <c r="BI11"/>
  <c r="C12"/>
  <c r="D12"/>
  <c r="E12"/>
  <c r="H12"/>
  <c r="J12"/>
  <c r="K12"/>
  <c r="L12"/>
  <c r="N12"/>
  <c r="O12"/>
  <c r="P12"/>
  <c r="Q12"/>
  <c r="R12"/>
  <c r="S12"/>
  <c r="T12"/>
  <c r="U12"/>
  <c r="W12"/>
  <c r="X12"/>
  <c r="Y12"/>
  <c r="AB12"/>
  <c r="AD12"/>
  <c r="AE12"/>
  <c r="AF12"/>
  <c r="AH12"/>
  <c r="AI12"/>
  <c r="AJ12"/>
  <c r="AK12"/>
  <c r="AL12"/>
  <c r="AM12"/>
  <c r="AN12"/>
  <c r="AO12"/>
  <c r="AQ12"/>
  <c r="AR12"/>
  <c r="AS12"/>
  <c r="AV12"/>
  <c r="AX12"/>
  <c r="AY12"/>
  <c r="AZ12"/>
  <c r="BB12"/>
  <c r="BC12"/>
  <c r="BD12"/>
  <c r="BE12"/>
  <c r="BF12"/>
  <c r="BG12"/>
  <c r="BH12"/>
  <c r="BI12"/>
  <c r="C13"/>
  <c r="D13"/>
  <c r="E13"/>
  <c r="H13"/>
  <c r="J13"/>
  <c r="K13"/>
  <c r="L13"/>
  <c r="N13"/>
  <c r="O13"/>
  <c r="P13"/>
  <c r="Q13"/>
  <c r="R13"/>
  <c r="S13"/>
  <c r="T13"/>
  <c r="U13"/>
  <c r="W13"/>
  <c r="X13"/>
  <c r="Y13"/>
  <c r="AB13"/>
  <c r="AD13"/>
  <c r="AE13"/>
  <c r="AF13"/>
  <c r="AH13"/>
  <c r="AI13"/>
  <c r="AJ13"/>
  <c r="AK13"/>
  <c r="AL13"/>
  <c r="AM13"/>
  <c r="AN13"/>
  <c r="AO13"/>
  <c r="AQ13"/>
  <c r="AR13"/>
  <c r="AS13"/>
  <c r="AV13"/>
  <c r="AX13"/>
  <c r="AY13"/>
  <c r="AZ13"/>
  <c r="BB13"/>
  <c r="BC13"/>
  <c r="BD13"/>
  <c r="BE13"/>
  <c r="BF13"/>
  <c r="BG13"/>
  <c r="BH13"/>
  <c r="BI13"/>
  <c r="C14"/>
  <c r="D14"/>
  <c r="E14"/>
  <c r="H14"/>
  <c r="J14"/>
  <c r="K14"/>
  <c r="L14"/>
  <c r="N14"/>
  <c r="O14"/>
  <c r="P14"/>
  <c r="Q14"/>
  <c r="R14"/>
  <c r="S14"/>
  <c r="T14"/>
  <c r="U14"/>
  <c r="W14"/>
  <c r="X14"/>
  <c r="Y14"/>
  <c r="AB14"/>
  <c r="AD14"/>
  <c r="AE14"/>
  <c r="AF14"/>
  <c r="AH14"/>
  <c r="AI14"/>
  <c r="AJ14"/>
  <c r="AK14"/>
  <c r="AL14"/>
  <c r="AM14"/>
  <c r="AN14"/>
  <c r="AO14"/>
  <c r="AQ14"/>
  <c r="AR14"/>
  <c r="AS14"/>
  <c r="AV14"/>
  <c r="AX14"/>
  <c r="AY14"/>
  <c r="AZ14"/>
  <c r="BB14"/>
  <c r="BC14"/>
  <c r="BD14"/>
  <c r="BE14"/>
  <c r="BF14"/>
  <c r="BG14"/>
  <c r="BH14"/>
  <c r="BI14"/>
  <c r="C15"/>
  <c r="D15"/>
  <c r="E15"/>
  <c r="H15"/>
  <c r="J15"/>
  <c r="K15"/>
  <c r="L15"/>
  <c r="N15"/>
  <c r="O15"/>
  <c r="P15"/>
  <c r="Q15"/>
  <c r="R15"/>
  <c r="S15"/>
  <c r="T15"/>
  <c r="U15"/>
  <c r="W15"/>
  <c r="X15"/>
  <c r="Y15"/>
  <c r="AB15"/>
  <c r="AD15"/>
  <c r="AE15"/>
  <c r="AF15"/>
  <c r="AH15"/>
  <c r="AI15"/>
  <c r="AJ15"/>
  <c r="AK15"/>
  <c r="AL15"/>
  <c r="AM15"/>
  <c r="AN15"/>
  <c r="AO15"/>
  <c r="AQ15"/>
  <c r="AR15"/>
  <c r="AS15"/>
  <c r="AV15"/>
  <c r="AX15"/>
  <c r="AY15"/>
  <c r="AZ15"/>
  <c r="BB15"/>
  <c r="BC15"/>
  <c r="BD15"/>
  <c r="BE15"/>
  <c r="BF15"/>
  <c r="BG15"/>
  <c r="BH15"/>
  <c r="BI15"/>
  <c r="C16"/>
  <c r="D16"/>
  <c r="E16"/>
  <c r="H16"/>
  <c r="J16"/>
  <c r="K16"/>
  <c r="L16"/>
  <c r="N16"/>
  <c r="O16"/>
  <c r="P16"/>
  <c r="Q16"/>
  <c r="R16"/>
  <c r="S16"/>
  <c r="T16"/>
  <c r="U16"/>
  <c r="W16"/>
  <c r="X16"/>
  <c r="Y16"/>
  <c r="AB16"/>
  <c r="AD16"/>
  <c r="AE16"/>
  <c r="AF16"/>
  <c r="AH16"/>
  <c r="AI16"/>
  <c r="AJ16"/>
  <c r="AK16"/>
  <c r="AL16"/>
  <c r="AM16"/>
  <c r="AN16"/>
  <c r="AO16"/>
  <c r="AQ16"/>
  <c r="AR16"/>
  <c r="AS16"/>
  <c r="AV16"/>
  <c r="AX16"/>
  <c r="AY16"/>
  <c r="AZ16"/>
  <c r="BB16"/>
  <c r="BC16"/>
  <c r="BD16"/>
  <c r="BE16"/>
  <c r="BF16"/>
  <c r="BG16"/>
  <c r="BH16"/>
  <c r="BI16"/>
  <c r="C17"/>
  <c r="D17"/>
  <c r="E17"/>
  <c r="H17"/>
  <c r="J17"/>
  <c r="K17"/>
  <c r="L17"/>
  <c r="N17"/>
  <c r="O17"/>
  <c r="P17"/>
  <c r="Q17"/>
  <c r="R17"/>
  <c r="S17"/>
  <c r="T17"/>
  <c r="U17"/>
  <c r="W17"/>
  <c r="X17"/>
  <c r="Y17"/>
  <c r="AB17"/>
  <c r="AD17"/>
  <c r="AE17"/>
  <c r="AF17"/>
  <c r="AH17"/>
  <c r="AI17"/>
  <c r="AJ17"/>
  <c r="AK17"/>
  <c r="AL17"/>
  <c r="AM17"/>
  <c r="AN17"/>
  <c r="AO17"/>
  <c r="AQ17"/>
  <c r="AR17"/>
  <c r="AS17"/>
  <c r="AV17"/>
  <c r="AX17"/>
  <c r="AY17"/>
  <c r="AZ17"/>
  <c r="BB17"/>
  <c r="BC17"/>
  <c r="BD17"/>
  <c r="BE17"/>
  <c r="BF17"/>
  <c r="BG17"/>
  <c r="BH17"/>
  <c r="BI17"/>
  <c r="C19"/>
  <c r="D19"/>
  <c r="E19"/>
  <c r="H19"/>
  <c r="J19"/>
  <c r="K19"/>
  <c r="L19"/>
  <c r="N19"/>
  <c r="O19"/>
  <c r="P19"/>
  <c r="Q19"/>
  <c r="R19"/>
  <c r="S19"/>
  <c r="T19"/>
  <c r="U19"/>
  <c r="W19"/>
  <c r="X19"/>
  <c r="Y19"/>
  <c r="AB19"/>
  <c r="AD19"/>
  <c r="AE19"/>
  <c r="AF19"/>
  <c r="AH19"/>
  <c r="AI19"/>
  <c r="AJ19"/>
  <c r="AK19"/>
  <c r="AL19"/>
  <c r="AM19"/>
  <c r="AN19"/>
  <c r="AO19"/>
  <c r="AQ19"/>
  <c r="AR19"/>
  <c r="AS19"/>
  <c r="AV19"/>
  <c r="AX19"/>
  <c r="AY19"/>
  <c r="AZ19"/>
  <c r="BB19"/>
  <c r="BC19"/>
  <c r="BD19"/>
  <c r="BE19"/>
  <c r="BF19"/>
  <c r="BG19"/>
  <c r="BH19"/>
  <c r="BI19"/>
  <c r="C20"/>
  <c r="D20"/>
  <c r="E20"/>
  <c r="H20"/>
  <c r="J20"/>
  <c r="K20"/>
  <c r="L20"/>
  <c r="N20"/>
  <c r="O20"/>
  <c r="P20"/>
  <c r="Q20"/>
  <c r="R20"/>
  <c r="S20"/>
  <c r="T20"/>
  <c r="U20"/>
  <c r="W20"/>
  <c r="X20"/>
  <c r="Y20"/>
  <c r="AB20"/>
  <c r="AD20"/>
  <c r="AE20"/>
  <c r="AF20"/>
  <c r="AH20"/>
  <c r="AI20"/>
  <c r="AJ20"/>
  <c r="AK20"/>
  <c r="AL20"/>
  <c r="AM20"/>
  <c r="AN20"/>
  <c r="AO20"/>
  <c r="AQ20"/>
  <c r="AR20"/>
  <c r="AS20"/>
  <c r="AV20"/>
  <c r="AX20"/>
  <c r="AY20"/>
  <c r="AZ20"/>
  <c r="BB20"/>
  <c r="BC20"/>
  <c r="BD20"/>
  <c r="BE20"/>
  <c r="BF20"/>
  <c r="BG20"/>
  <c r="BH20"/>
  <c r="BI20"/>
  <c r="C21"/>
  <c r="D21"/>
  <c r="E21"/>
  <c r="H21"/>
  <c r="J21"/>
  <c r="K21"/>
  <c r="L21"/>
  <c r="N21"/>
  <c r="O21"/>
  <c r="P21"/>
  <c r="Q21"/>
  <c r="R21"/>
  <c r="S21"/>
  <c r="T21"/>
  <c r="U21"/>
  <c r="W21"/>
  <c r="X21"/>
  <c r="Y21"/>
  <c r="AB21"/>
  <c r="AD21"/>
  <c r="AE21"/>
  <c r="AF21"/>
  <c r="AH21"/>
  <c r="AI21"/>
  <c r="AJ21"/>
  <c r="AK21"/>
  <c r="AL21"/>
  <c r="AM21"/>
  <c r="AN21"/>
  <c r="AO21"/>
  <c r="AQ21"/>
  <c r="AR21"/>
  <c r="AS21"/>
  <c r="AV21"/>
  <c r="AX21"/>
  <c r="AY21"/>
  <c r="AZ21"/>
  <c r="BB21"/>
  <c r="BC21"/>
  <c r="BD21"/>
  <c r="BE21"/>
  <c r="BF21"/>
  <c r="BG21"/>
  <c r="BH21"/>
  <c r="BI21"/>
  <c r="C22"/>
  <c r="D22"/>
  <c r="E22"/>
  <c r="H22"/>
  <c r="J22"/>
  <c r="K22"/>
  <c r="L22"/>
  <c r="N22"/>
  <c r="O22"/>
  <c r="P22"/>
  <c r="Q22"/>
  <c r="R22"/>
  <c r="S22"/>
  <c r="T22"/>
  <c r="U22"/>
  <c r="W22"/>
  <c r="X22"/>
  <c r="Y22"/>
  <c r="AB22"/>
  <c r="AD22"/>
  <c r="AE22"/>
  <c r="AF22"/>
  <c r="AH22"/>
  <c r="AI22"/>
  <c r="AJ22"/>
  <c r="AK22"/>
  <c r="AL22"/>
  <c r="AM22"/>
  <c r="AN22"/>
  <c r="AO22"/>
  <c r="AQ22"/>
  <c r="AR22"/>
  <c r="AS22"/>
  <c r="AV22"/>
  <c r="AX22"/>
  <c r="AY22"/>
  <c r="AZ22"/>
  <c r="BB22"/>
  <c r="BC22"/>
  <c r="BD22"/>
  <c r="BE22"/>
  <c r="BF22"/>
  <c r="BG22"/>
  <c r="BH22"/>
  <c r="BI22"/>
  <c r="C23"/>
  <c r="D23"/>
  <c r="E23"/>
  <c r="H23"/>
  <c r="J23"/>
  <c r="K23"/>
  <c r="L23"/>
  <c r="N23"/>
  <c r="O23"/>
  <c r="P23"/>
  <c r="Q23"/>
  <c r="R23"/>
  <c r="S23"/>
  <c r="T23"/>
  <c r="U23"/>
  <c r="W23"/>
  <c r="X23"/>
  <c r="Y23"/>
  <c r="AB23"/>
  <c r="AD23"/>
  <c r="AE23"/>
  <c r="AF23"/>
  <c r="AH23"/>
  <c r="AI23"/>
  <c r="AJ23"/>
  <c r="AK23"/>
  <c r="AL23"/>
  <c r="AM23"/>
  <c r="AN23"/>
  <c r="AO23"/>
  <c r="AQ23"/>
  <c r="AR23"/>
  <c r="AS23"/>
  <c r="AV23"/>
  <c r="AX23"/>
  <c r="AY23"/>
  <c r="AZ23"/>
  <c r="BB23"/>
  <c r="BC23"/>
  <c r="BD23"/>
  <c r="BE23"/>
  <c r="BF23"/>
  <c r="BG23"/>
  <c r="BH23"/>
  <c r="BI23"/>
  <c r="C24"/>
  <c r="D24"/>
  <c r="E24"/>
  <c r="H24"/>
  <c r="J24"/>
  <c r="K24"/>
  <c r="L24"/>
  <c r="N24"/>
  <c r="O24"/>
  <c r="P24"/>
  <c r="Q24"/>
  <c r="R24"/>
  <c r="S24"/>
  <c r="T24"/>
  <c r="U24"/>
  <c r="W24"/>
  <c r="X24"/>
  <c r="Y24"/>
  <c r="AB24"/>
  <c r="AD24"/>
  <c r="AE24"/>
  <c r="AF24"/>
  <c r="AH24"/>
  <c r="AI24"/>
  <c r="AJ24"/>
  <c r="AK24"/>
  <c r="AL24"/>
  <c r="AM24"/>
  <c r="AN24"/>
  <c r="AO24"/>
  <c r="AQ24"/>
  <c r="AR24"/>
  <c r="AS24"/>
  <c r="AV24"/>
  <c r="AX24"/>
  <c r="AY24"/>
  <c r="AZ24"/>
  <c r="BB24"/>
  <c r="BC24"/>
  <c r="BD24"/>
  <c r="BE24"/>
  <c r="BF24"/>
  <c r="BG24"/>
  <c r="BH24"/>
  <c r="BI24"/>
  <c r="C25"/>
  <c r="D25"/>
  <c r="E25"/>
  <c r="H25"/>
  <c r="J25"/>
  <c r="K25"/>
  <c r="L25"/>
  <c r="N25"/>
  <c r="O25"/>
  <c r="P25"/>
  <c r="Q25"/>
  <c r="R25"/>
  <c r="S25"/>
  <c r="T25"/>
  <c r="U25"/>
  <c r="W25"/>
  <c r="X25"/>
  <c r="Y25"/>
  <c r="AB25"/>
  <c r="AD25"/>
  <c r="AE25"/>
  <c r="AF25"/>
  <c r="AH25"/>
  <c r="AI25"/>
  <c r="AJ25"/>
  <c r="AK25"/>
  <c r="AL25"/>
  <c r="AM25"/>
  <c r="AN25"/>
  <c r="AO25"/>
  <c r="AQ25"/>
  <c r="AR25"/>
  <c r="AS25"/>
  <c r="AV25"/>
  <c r="AX25"/>
  <c r="AY25"/>
  <c r="AZ25"/>
  <c r="BB25"/>
  <c r="BC25"/>
  <c r="BD25"/>
  <c r="BE25"/>
  <c r="BF25"/>
  <c r="BG25"/>
  <c r="BH25"/>
  <c r="BI25"/>
  <c r="C26"/>
  <c r="D26"/>
  <c r="E26"/>
  <c r="H26"/>
  <c r="J26"/>
  <c r="K26"/>
  <c r="L26"/>
  <c r="N26"/>
  <c r="O26"/>
  <c r="P26"/>
  <c r="Q26"/>
  <c r="R26"/>
  <c r="S26"/>
  <c r="T26"/>
  <c r="U26"/>
  <c r="W26"/>
  <c r="X26"/>
  <c r="Y26"/>
  <c r="AB26"/>
  <c r="AD26"/>
  <c r="AE26"/>
  <c r="AF26"/>
  <c r="AH26"/>
  <c r="AI26"/>
  <c r="AJ26"/>
  <c r="AK26"/>
  <c r="AL26"/>
  <c r="AM26"/>
  <c r="AN26"/>
  <c r="AO26"/>
  <c r="AQ26"/>
  <c r="AR26"/>
  <c r="AS26"/>
  <c r="AV26"/>
  <c r="AX26"/>
  <c r="AY26"/>
  <c r="AZ26"/>
  <c r="BB26"/>
  <c r="BC26"/>
  <c r="BD26"/>
  <c r="BE26"/>
  <c r="BF26"/>
  <c r="BG26"/>
  <c r="BH26"/>
  <c r="BI26"/>
  <c r="C27"/>
  <c r="D27"/>
  <c r="E27"/>
  <c r="H27"/>
  <c r="J27"/>
  <c r="K27"/>
  <c r="L27"/>
  <c r="N27"/>
  <c r="O27"/>
  <c r="P27"/>
  <c r="Q27"/>
  <c r="R27"/>
  <c r="S27"/>
  <c r="T27"/>
  <c r="U27"/>
  <c r="W27"/>
  <c r="X27"/>
  <c r="Y27"/>
  <c r="AB27"/>
  <c r="AD27"/>
  <c r="AE27"/>
  <c r="AF27"/>
  <c r="AH27"/>
  <c r="AI27"/>
  <c r="AJ27"/>
  <c r="AK27"/>
  <c r="AL27"/>
  <c r="AM27"/>
  <c r="AN27"/>
  <c r="AO27"/>
  <c r="AQ27"/>
  <c r="AR27"/>
  <c r="AS27"/>
  <c r="AV27"/>
  <c r="AX27"/>
  <c r="AY27"/>
  <c r="AZ27"/>
  <c r="BB27"/>
  <c r="BC27"/>
  <c r="BD27"/>
  <c r="BE27"/>
  <c r="BF27"/>
  <c r="BG27"/>
  <c r="BH27"/>
  <c r="BI27"/>
  <c r="C28"/>
  <c r="D28"/>
  <c r="E28"/>
  <c r="H28"/>
  <c r="J28"/>
  <c r="K28"/>
  <c r="L28"/>
  <c r="N28"/>
  <c r="O28"/>
  <c r="P28"/>
  <c r="Q28"/>
  <c r="R28"/>
  <c r="S28"/>
  <c r="T28"/>
  <c r="U28"/>
  <c r="W28"/>
  <c r="X28"/>
  <c r="Y28"/>
  <c r="AB28"/>
  <c r="AD28"/>
  <c r="AE28"/>
  <c r="AF28"/>
  <c r="AH28"/>
  <c r="AI28"/>
  <c r="AJ28"/>
  <c r="AK28"/>
  <c r="AL28"/>
  <c r="AM28"/>
  <c r="AN28"/>
  <c r="AO28"/>
  <c r="AQ28"/>
  <c r="AR28"/>
  <c r="AS28"/>
  <c r="AV28"/>
  <c r="AX28"/>
  <c r="AY28"/>
  <c r="AZ28"/>
  <c r="BB28"/>
  <c r="BC28"/>
  <c r="BD28"/>
  <c r="BE28"/>
  <c r="BF28"/>
  <c r="BG28"/>
  <c r="BH28"/>
  <c r="BI28"/>
  <c r="C29"/>
  <c r="D29"/>
  <c r="E29"/>
  <c r="H29"/>
  <c r="J29"/>
  <c r="K29"/>
  <c r="L29"/>
  <c r="N29"/>
  <c r="O29"/>
  <c r="P29"/>
  <c r="Q29"/>
  <c r="R29"/>
  <c r="S29"/>
  <c r="T29"/>
  <c r="U29"/>
  <c r="W29"/>
  <c r="X29"/>
  <c r="Y29"/>
  <c r="AB29"/>
  <c r="AD29"/>
  <c r="AE29"/>
  <c r="AF29"/>
  <c r="AH29"/>
  <c r="AI29"/>
  <c r="AJ29"/>
  <c r="AK29"/>
  <c r="AL29"/>
  <c r="AM29"/>
  <c r="AN29"/>
  <c r="AO29"/>
  <c r="AQ29"/>
  <c r="AR29"/>
  <c r="AS29"/>
  <c r="AV29"/>
  <c r="AX29"/>
  <c r="AY29"/>
  <c r="AZ29"/>
  <c r="BB29"/>
  <c r="BC29"/>
  <c r="BD29"/>
  <c r="BE29"/>
  <c r="BF29"/>
  <c r="BG29"/>
  <c r="BH29"/>
  <c r="BI29"/>
  <c r="C30"/>
  <c r="D30"/>
  <c r="E30"/>
  <c r="H30"/>
  <c r="J30"/>
  <c r="K30"/>
  <c r="L30"/>
  <c r="N30"/>
  <c r="O30"/>
  <c r="P30"/>
  <c r="Q30"/>
  <c r="R30"/>
  <c r="S30"/>
  <c r="T30"/>
  <c r="U30"/>
  <c r="W30"/>
  <c r="X30"/>
  <c r="Y30"/>
  <c r="AB30"/>
  <c r="AD30"/>
  <c r="AE30"/>
  <c r="AF30"/>
  <c r="AH30"/>
  <c r="AI30"/>
  <c r="AJ30"/>
  <c r="AK30"/>
  <c r="AL30"/>
  <c r="AM30"/>
  <c r="AN30"/>
  <c r="AO30"/>
  <c r="AQ30"/>
  <c r="AR30"/>
  <c r="AS30"/>
  <c r="AV30"/>
  <c r="AX30"/>
  <c r="AY30"/>
  <c r="AZ30"/>
  <c r="BB30"/>
  <c r="BC30"/>
  <c r="BD30"/>
  <c r="BE30"/>
  <c r="BF30"/>
  <c r="BG30"/>
  <c r="BH30"/>
  <c r="BI30"/>
  <c r="C31"/>
  <c r="D31"/>
  <c r="E31"/>
  <c r="H31"/>
  <c r="J31"/>
  <c r="K31"/>
  <c r="L31"/>
  <c r="N31"/>
  <c r="O31"/>
  <c r="P31"/>
  <c r="Q31"/>
  <c r="R31"/>
  <c r="S31"/>
  <c r="T31"/>
  <c r="U31"/>
  <c r="W31"/>
  <c r="X31"/>
  <c r="Y31"/>
  <c r="AB31"/>
  <c r="AD31"/>
  <c r="AE31"/>
  <c r="AF31"/>
  <c r="AH31"/>
  <c r="AI31"/>
  <c r="AJ31"/>
  <c r="AK31"/>
  <c r="AL31"/>
  <c r="AM31"/>
  <c r="AN31"/>
  <c r="AO31"/>
  <c r="AQ31"/>
  <c r="AR31"/>
  <c r="AS31"/>
  <c r="AV31"/>
  <c r="AX31"/>
  <c r="AY31"/>
  <c r="AZ31"/>
  <c r="BB31"/>
  <c r="BC31"/>
  <c r="BD31"/>
  <c r="BE31"/>
  <c r="BF31"/>
  <c r="BG31"/>
  <c r="BH31"/>
  <c r="BI31"/>
  <c r="C32"/>
  <c r="D32"/>
  <c r="E32"/>
  <c r="H32"/>
  <c r="J32"/>
  <c r="K32"/>
  <c r="L32"/>
  <c r="N32"/>
  <c r="O32"/>
  <c r="P32"/>
  <c r="Q32"/>
  <c r="R32"/>
  <c r="S32"/>
  <c r="T32"/>
  <c r="U32"/>
  <c r="W32"/>
  <c r="X32"/>
  <c r="Y32"/>
  <c r="AB32"/>
  <c r="AD32"/>
  <c r="AE32"/>
  <c r="AF32"/>
  <c r="AH32"/>
  <c r="AI32"/>
  <c r="AJ32"/>
  <c r="AK32"/>
  <c r="AL32"/>
  <c r="AM32"/>
  <c r="AN32"/>
  <c r="AO32"/>
  <c r="AQ32"/>
  <c r="AR32"/>
  <c r="AS32"/>
  <c r="AV32"/>
  <c r="AX32"/>
  <c r="AY32"/>
  <c r="AZ32"/>
  <c r="BB32"/>
  <c r="BC32"/>
  <c r="BD32"/>
  <c r="BE32"/>
  <c r="BF32"/>
  <c r="BG32"/>
  <c r="BH32"/>
  <c r="BI32"/>
</calcChain>
</file>

<file path=xl/sharedStrings.xml><?xml version="1.0" encoding="utf-8"?>
<sst xmlns="http://schemas.openxmlformats.org/spreadsheetml/2006/main" count="703" uniqueCount="318">
  <si>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</si>
  <si>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</si>
  <si>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</si>
  <si>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</si>
  <si>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</si>
  <si>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</si>
  <si>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</si>
  <si>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</si>
  <si>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</si>
  <si>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</si>
  <si>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</si>
  <si>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</si>
  <si>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</si>
  <si>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</si>
  <si>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</si>
  <si>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</si>
  <si>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</si>
  <si>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</si>
  <si>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</si>
  <si>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</si>
  <si>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</si>
  <si>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</si>
  <si>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</si>
  <si>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</si>
  <si>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</si>
  <si>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</si>
  <si>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</si>
  <si>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</si>
  <si>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</si>
  <si>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</si>
  <si>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</si>
  <si>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</si>
  <si>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</si>
  <si>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</si>
  <si>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</si>
  <si>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</si>
  <si>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</si>
  <si>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</si>
  <si>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</si>
  <si>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</si>
  <si>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</si>
  <si>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</si>
  <si>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</si>
  <si>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</si>
  <si>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</si>
  <si>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</si>
  <si>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</si>
  <si>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</si>
  <si>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ILo, target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</si>
  <si>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</si>
  <si>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</si>
  <si>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</si>
  <si>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Used to calculate Lo at typical Vin, Vout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</si>
  <si>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</si>
  <si>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</si>
  <si>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</si>
  <si>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</si>
  <si>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</si>
  <si>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</si>
  <si>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</si>
  <si>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</si>
  <si>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</si>
  <si>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</si>
  <si>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</si>
  <si>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</si>
  <si>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</si>
  <si>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</si>
  <si>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</si>
  <si>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</si>
  <si>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</si>
  <si>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</si>
  <si>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</si>
  <si>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</si>
  <si>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</si>
  <si>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</si>
  <si>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</si>
  <si>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</si>
  <si>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</si>
  <si>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</si>
  <si>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</si>
  <si>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</si>
  <si>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</si>
  <si>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</si>
  <si>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</si>
  <si>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</si>
  <si>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</si>
  <si>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</si>
  <si>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</si>
  <si>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</si>
  <si>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</si>
  <si>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</si>
  <si>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</si>
  <si>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Recommended maximum 0dB crossover frequency of the system</t>
  </si>
  <si>
    <t>Zero formed by the output capacitance and its ESR</t>
  </si>
  <si>
    <t>Recommended FB resister from Vout to VFB</t>
  </si>
  <si>
    <t>Recommended FB resister from VFB to GND</t>
  </si>
  <si>
    <r>
      <t xml:space="preserve">Compensation is based on average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</si>
  <si>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t>Choose the closest available 1% standard resister value</t>
  </si>
  <si>
    <t>Desired output voltage</t>
  </si>
  <si>
    <t>Desired maximum output current</t>
  </si>
  <si>
    <t>Recommended compensation capacitor, use closest available value</t>
  </si>
  <si>
    <t>Recommended HF compensation capacitor, use closest available value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</si>
  <si>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</si>
  <si>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</si>
  <si>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</si>
  <si>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</si>
  <si>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</si>
  <si>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</si>
  <si>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</si>
  <si>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</si>
  <si>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</si>
  <si>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</si>
  <si>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</si>
  <si>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</si>
  <si>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</si>
  <si>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</si>
  <si>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</si>
  <si>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</si>
  <si>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</si>
  <si>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</si>
  <si>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</si>
  <si>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</si>
  <si>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</si>
  <si>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</si>
  <si>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</si>
  <si>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</si>
  <si>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</si>
  <si>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</si>
  <si>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t>Measured on Allegro EVB with 2x 10uF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</si>
  <si>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</si>
  <si>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</si>
  <si>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</si>
  <si>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</si>
  <si>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</t>
    </r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</si>
  <si>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</si>
  <si>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</si>
  <si>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</si>
  <si>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</si>
  <si>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</si>
  <si>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</si>
  <si>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</si>
  <si>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</si>
  <si>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</si>
  <si>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r>
      <t>mV</t>
    </r>
    <r>
      <rPr>
        <vertAlign val="subscript"/>
        <sz val="11"/>
        <color theme="1"/>
        <rFont val="Calibri"/>
        <family val="2"/>
        <scheme val="minor"/>
      </rPr>
      <t>PP</t>
    </r>
  </si>
  <si>
    <t>Estimated typical output voltage ripple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</si>
  <si>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</si>
  <si>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</si>
  <si>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</si>
  <si>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</si>
  <si>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</si>
  <si>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</si>
  <si>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</si>
  <si>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</si>
  <si>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Soft Start Capacitor and Timing:</t>
  </si>
  <si>
    <t xml:space="preserve"> Compensation Components: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</si>
  <si>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</si>
  <si>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</si>
  <si>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</si>
  <si>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</si>
  <si>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</si>
  <si>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</si>
  <si>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</si>
  <si>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>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</si>
  <si>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</si>
  <si>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</si>
  <si>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</si>
  <si>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</si>
  <si>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</si>
  <si>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</si>
  <si>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</si>
  <si>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t>This value should not exceed the inductor's specified saturation current</t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</si>
  <si>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</si>
  <si>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</si>
  <si>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</si>
  <si>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</si>
  <si>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</si>
  <si>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</si>
  <si>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</si>
  <si>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</si>
  <si>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</si>
  <si>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</si>
  <si>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</si>
  <si>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</si>
  <si>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</si>
  <si>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</si>
  <si>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</si>
  <si>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</si>
  <si>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r>
      <t>Transient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recommend starting with 50%</t>
    </r>
  </si>
  <si>
    <t>Calculated total output capacitance with tolerance and real DC bias</t>
  </si>
  <si>
    <t>Lo_est</t>
  </si>
  <si>
    <t>Estimated output inductance, based on worst case timing and input voltages</t>
  </si>
  <si>
    <t>Typical output inductor ripple current</t>
  </si>
  <si>
    <t>Current limit margin (minimum) before possible duty-cycle limiting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</si>
  <si>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</si>
  <si>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</si>
  <si>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</si>
  <si>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 xml:space="preserve">Choose Lo, considering </t>
    </r>
    <r>
      <rPr>
        <sz val="11"/>
        <color indexed="8"/>
        <rFont val="Calibri"/>
        <family val="2"/>
      </rPr>
      <t>Lo_est</t>
    </r>
    <r>
      <rPr>
        <sz val="11"/>
        <color theme="1"/>
        <rFont val="Calibri"/>
        <family val="2"/>
        <scheme val="minor"/>
      </rPr>
      <t xml:space="preserve"> (choose next highest standard value)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</si>
  <si>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</si>
  <si>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 sheet value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</si>
  <si>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data sheet value</t>
    </r>
  </si>
  <si>
    <t>Measured value, see LX curve to the right</t>
  </si>
  <si>
    <t>Curve fit value, slope</t>
  </si>
  <si>
    <t>Curve fit value, offset</t>
  </si>
  <si>
    <t>Lo_I_max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</si>
  <si>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</si>
  <si>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</si>
  <si>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</si>
  <si>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</si>
  <si>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</si>
  <si>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</si>
  <si>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</si>
  <si>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</si>
  <si>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</si>
  <si>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</si>
  <si>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Estimated number of 10uF/16V/X7R/1206 output capacitors required</t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</si>
  <si>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</si>
  <si>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</si>
  <si>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</si>
  <si>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</si>
  <si>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</si>
  <si>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</si>
  <si>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</si>
  <si>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</si>
  <si>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</si>
  <si>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</si>
  <si>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</si>
  <si>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</si>
  <si>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</si>
  <si>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</si>
  <si>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</si>
  <si>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</si>
  <si>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</si>
  <si>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</si>
  <si>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</si>
  <si>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</si>
  <si>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</si>
  <si>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</si>
  <si>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</si>
  <si>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</si>
  <si>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</si>
  <si>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</si>
  <si>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</si>
  <si>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</si>
  <si>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</si>
  <si>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</si>
  <si>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</si>
  <si>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</si>
  <si>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</si>
  <si>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</si>
  <si>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</si>
  <si>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</si>
  <si>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</si>
  <si>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</si>
  <si>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</si>
  <si>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</si>
  <si>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</si>
  <si>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</si>
  <si>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</si>
  <si>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</si>
  <si>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</si>
  <si>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</si>
  <si>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</si>
  <si>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</si>
  <si>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</si>
  <si>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</si>
  <si>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</si>
  <si>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</si>
  <si>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</si>
  <si>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</si>
  <si>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</si>
  <si>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</si>
  <si>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</si>
  <si>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</si>
  <si>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</si>
  <si>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</si>
  <si>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</si>
  <si>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</si>
  <si>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</si>
  <si>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Thermal resistance, 4 layer PCB</t>
  </si>
  <si>
    <r>
      <t xml:space="preserve">Choose fc considering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MAX.</t>
    </r>
    <r>
      <rPr>
        <sz val="11"/>
        <color indexed="8"/>
        <rFont val="Calibri"/>
        <family val="2"/>
      </rPr>
      <t xml:space="preserve">  Higher fc = faster system, lower stability margins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</si>
  <si>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</si>
  <si>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</si>
  <si>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</si>
  <si>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</si>
  <si>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</si>
  <si>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</si>
  <si>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</si>
  <si>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</si>
  <si>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</si>
  <si>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</si>
  <si>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</si>
  <si>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</si>
  <si>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</si>
  <si>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</si>
  <si>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</si>
  <si>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</si>
  <si>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</si>
  <si>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Dominant pole formed by the output capacitance and the load</t>
  </si>
  <si>
    <t>Recommended compensation resister to achieve fc</t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</si>
  <si>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</si>
  <si>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</si>
  <si>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</si>
  <si>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</si>
  <si>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</si>
  <si>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</si>
  <si>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</si>
  <si>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</si>
  <si>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</si>
  <si>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</si>
  <si>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</si>
  <si>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</si>
  <si>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 xml:space="preserve">       Diode D1:  Example I-V Characteristics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</si>
  <si>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</si>
  <si>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</si>
  <si>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</si>
  <si>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Enter the snubber capacitor value, enter "0" if no snubber is used</t>
  </si>
  <si>
    <t>ALLEGRO A8583 DESIGN SPREADSHEET - Rev. 2.3</t>
  </si>
  <si>
    <t>ALLEGRO A8583 DESIGN SPREADSHEET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</si>
</sst>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10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165" fontId="0" fillId="7" borderId="0" xfId="0" applyNumberForma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165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left" indent="1"/>
    </xf>
    <xf numFmtId="0" fontId="0" fillId="5" borderId="14" xfId="0" applyFill="1" applyBorder="1"/>
    <xf numFmtId="0" fontId="0" fillId="5" borderId="20" xfId="0" applyFill="1" applyBorder="1"/>
    <xf numFmtId="165" fontId="0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>
      <alignment horizontal="left" indent="1"/>
    </xf>
    <xf numFmtId="0" fontId="0" fillId="5" borderId="22" xfId="0" applyFill="1" applyBorder="1"/>
    <xf numFmtId="0" fontId="0" fillId="5" borderId="23" xfId="0" applyFill="1" applyBorder="1"/>
    <xf numFmtId="0" fontId="9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/>
    <xf numFmtId="0" fontId="7" fillId="8" borderId="18" xfId="0" applyFont="1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2" fontId="0" fillId="9" borderId="24" xfId="0" applyNumberForma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7" fillId="7" borderId="42" xfId="0" applyFont="1" applyFill="1" applyBorder="1" applyAlignment="1" applyProtection="1">
      <alignment horizontal="center"/>
    </xf>
    <xf numFmtId="2" fontId="0" fillId="7" borderId="36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165" fontId="0" fillId="7" borderId="36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2" fontId="24" fillId="7" borderId="0" xfId="0" applyNumberFormat="1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2" fontId="24" fillId="9" borderId="1" xfId="0" applyNumberFormat="1" applyFont="1" applyFill="1" applyBorder="1" applyAlignment="1" applyProtection="1">
      <alignment horizontal="center"/>
      <protection locked="0"/>
    </xf>
    <xf numFmtId="0" fontId="24" fillId="7" borderId="42" xfId="0" applyFont="1" applyFill="1" applyBorder="1" applyAlignment="1" applyProtection="1">
      <alignment horizontal="center"/>
    </xf>
    <xf numFmtId="0" fontId="24" fillId="7" borderId="36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164" fontId="8" fillId="5" borderId="14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3" fillId="7" borderId="40" xfId="0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5" fillId="7" borderId="10" xfId="0" applyFont="1" applyFill="1" applyBorder="1" applyAlignment="1" applyProtection="1">
      <alignment horizontal="left" indent="1"/>
    </xf>
    <xf numFmtId="0" fontId="35" fillId="7" borderId="0" xfId="0" applyFont="1" applyFill="1" applyBorder="1" applyAlignment="1" applyProtection="1">
      <alignment horizont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165" fontId="35" fillId="9" borderId="1" xfId="0" applyNumberFormat="1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5" fontId="0" fillId="7" borderId="0" xfId="0" applyNumberFormat="1" applyFont="1" applyFill="1" applyAlignment="1" applyProtection="1">
      <alignment horizontal="center"/>
    </xf>
    <xf numFmtId="0" fontId="38" fillId="8" borderId="36" xfId="0" applyFont="1" applyFill="1" applyBorder="1" applyAlignment="1">
      <alignment horizontal="center" vertical="center"/>
    </xf>
    <xf numFmtId="0" fontId="8" fillId="6" borderId="29" xfId="0" applyFont="1" applyFill="1" applyBorder="1" applyAlignment="1" applyProtection="1">
      <alignment horizontal="center"/>
    </xf>
    <xf numFmtId="165" fontId="8" fillId="6" borderId="3" xfId="0" applyNumberFormat="1" applyFont="1" applyFill="1" applyBorder="1" applyAlignment="1" applyProtection="1">
      <alignment horizontal="center"/>
    </xf>
    <xf numFmtId="2" fontId="8" fillId="9" borderId="1" xfId="0" applyNumberFormat="1" applyFont="1" applyFill="1" applyBorder="1" applyAlignment="1" applyProtection="1">
      <alignment horizontal="center"/>
      <protection locked="0"/>
    </xf>
    <xf numFmtId="165" fontId="8" fillId="6" borderId="57" xfId="0" applyNumberFormat="1" applyFon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  <protection locked="0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/>
    </xf>
    <xf numFmtId="165" fontId="39" fillId="2" borderId="41" xfId="0" applyNumberFormat="1" applyFont="1" applyFill="1" applyBorder="1" applyAlignment="1">
      <alignment horizontal="center"/>
    </xf>
    <xf numFmtId="165" fontId="39" fillId="2" borderId="37" xfId="0" applyNumberFormat="1" applyFont="1" applyFill="1" applyBorder="1" applyAlignment="1">
      <alignment horizontal="center"/>
    </xf>
    <xf numFmtId="165" fontId="38" fillId="8" borderId="46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/>
    </xf>
    <xf numFmtId="165" fontId="39" fillId="3" borderId="41" xfId="0" applyNumberFormat="1" applyFont="1" applyFill="1" applyBorder="1" applyAlignment="1">
      <alignment horizontal="center"/>
    </xf>
    <xf numFmtId="165" fontId="39" fillId="3" borderId="37" xfId="0" applyNumberFormat="1" applyFont="1" applyFill="1" applyBorder="1" applyAlignment="1">
      <alignment horizontal="center"/>
    </xf>
    <xf numFmtId="165" fontId="39" fillId="4" borderId="39" xfId="0" applyNumberFormat="1" applyFont="1" applyFill="1" applyBorder="1" applyAlignment="1">
      <alignment horizontal="center"/>
    </xf>
    <xf numFmtId="165" fontId="39" fillId="4" borderId="41" xfId="0" applyNumberFormat="1" applyFont="1" applyFill="1" applyBorder="1" applyAlignment="1">
      <alignment horizontal="center"/>
    </xf>
    <xf numFmtId="165" fontId="39" fillId="4" borderId="37" xfId="0" applyNumberFormat="1" applyFont="1" applyFill="1" applyBorder="1" applyAlignment="1">
      <alignment horizontal="center"/>
    </xf>
    <xf numFmtId="2" fontId="39" fillId="2" borderId="38" xfId="0" applyNumberFormat="1" applyFont="1" applyFill="1" applyBorder="1" applyAlignment="1">
      <alignment horizontal="center"/>
    </xf>
    <xf numFmtId="2" fontId="39" fillId="2" borderId="40" xfId="0" applyNumberFormat="1" applyFont="1" applyFill="1" applyBorder="1" applyAlignment="1">
      <alignment horizontal="center"/>
    </xf>
    <xf numFmtId="2" fontId="39" fillId="2" borderId="42" xfId="0" applyNumberFormat="1" applyFont="1" applyFill="1" applyBorder="1" applyAlignment="1">
      <alignment horizontal="center"/>
    </xf>
    <xf numFmtId="0" fontId="0" fillId="8" borderId="39" xfId="0" applyFont="1" applyFill="1" applyBorder="1"/>
    <xf numFmtId="0" fontId="38" fillId="8" borderId="58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1" fontId="24" fillId="7" borderId="36" xfId="0" applyNumberFormat="1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49" fillId="8" borderId="38" xfId="0" applyFont="1" applyFill="1" applyBorder="1" applyAlignment="1">
      <alignment horizontal="center" vertical="center"/>
    </xf>
    <xf numFmtId="165" fontId="49" fillId="8" borderId="2" xfId="0" applyNumberFormat="1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>
      <alignment horizontal="center"/>
    </xf>
    <xf numFmtId="164" fontId="39" fillId="13" borderId="41" xfId="0" applyNumberFormat="1" applyFont="1" applyFill="1" applyBorder="1" applyAlignment="1">
      <alignment horizontal="center"/>
    </xf>
    <xf numFmtId="164" fontId="39" fillId="13" borderId="37" xfId="0" applyNumberFormat="1" applyFont="1" applyFill="1" applyBorder="1" applyAlignment="1">
      <alignment horizontal="center"/>
    </xf>
    <xf numFmtId="164" fontId="39" fillId="13" borderId="0" xfId="0" applyNumberFormat="1" applyFont="1" applyFill="1" applyBorder="1" applyAlignment="1">
      <alignment horizontal="center"/>
    </xf>
    <xf numFmtId="164" fontId="39" fillId="13" borderId="36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indent="1"/>
    </xf>
    <xf numFmtId="0" fontId="0" fillId="6" borderId="5" xfId="0" applyFill="1" applyBorder="1" applyAlignment="1" applyProtection="1">
      <alignment horizontal="left" indent="1"/>
    </xf>
    <xf numFmtId="0" fontId="0" fillId="6" borderId="31" xfId="0" applyFill="1" applyBorder="1" applyAlignment="1" applyProtection="1">
      <alignment horizontal="left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indent="1"/>
    </xf>
    <xf numFmtId="0" fontId="0" fillId="6" borderId="14" xfId="0" applyFont="1" applyFill="1" applyBorder="1" applyAlignment="1" applyProtection="1">
      <alignment horizontal="left" indent="1"/>
    </xf>
    <xf numFmtId="0" fontId="0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indent="1"/>
    </xf>
    <xf numFmtId="0" fontId="0" fillId="6" borderId="14" xfId="0" applyFill="1" applyBorder="1" applyAlignment="1" applyProtection="1">
      <alignment horizontal="left" indent="1"/>
    </xf>
    <xf numFmtId="0" fontId="0" fillId="6" borderId="20" xfId="0" applyFill="1" applyBorder="1" applyAlignment="1" applyProtection="1">
      <alignment horizontal="left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111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51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Efficiency!$U$4:$U$17</c:f>
              <c:numCache>
                <c:formatCode>0.0</c:formatCode>
                <c:ptCount val="14"/>
                <c:pt idx="0">
                  <c:v>80.393808172596778</c:v>
                </c:pt>
                <c:pt idx="1">
                  <c:v>85.49318279192353</c:v>
                </c:pt>
                <c:pt idx="2">
                  <c:v>86.98996106632157</c:v>
                </c:pt>
                <c:pt idx="3">
                  <c:v>87.490598744249382</c:v>
                </c:pt>
                <c:pt idx="4">
                  <c:v>87.576485318133606</c:v>
                </c:pt>
                <c:pt idx="5">
                  <c:v>87.450041671347677</c:v>
                </c:pt>
                <c:pt idx="6">
                  <c:v>87.199653704610341</c:v>
                </c:pt>
                <c:pt idx="7">
                  <c:v>86.869572111942773</c:v>
                </c:pt>
                <c:pt idx="8">
                  <c:v>86.629809332531877</c:v>
                </c:pt>
                <c:pt idx="9">
                  <c:v>86.343476939863365</c:v>
                </c:pt>
                <c:pt idx="10">
                  <c:v>86.018605176595997</c:v>
                </c:pt>
                <c:pt idx="11">
                  <c:v>85.659827596455145</c:v>
                </c:pt>
                <c:pt idx="12">
                  <c:v>85.269549391357316</c:v>
                </c:pt>
                <c:pt idx="13">
                  <c:v>84.848589008738074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Efficiency!$AO$4:$AO$17</c:f>
              <c:numCache>
                <c:formatCode>0.0</c:formatCode>
                <c:ptCount val="14"/>
                <c:pt idx="0">
                  <c:v>71.751100252696787</c:v>
                </c:pt>
                <c:pt idx="1">
                  <c:v>79.026672024670916</c:v>
                </c:pt>
                <c:pt idx="2">
                  <c:v>81.493054561388249</c:v>
                </c:pt>
                <c:pt idx="3">
                  <c:v>82.554459104306559</c:v>
                </c:pt>
                <c:pt idx="4">
                  <c:v>83.016849320771399</c:v>
                </c:pt>
                <c:pt idx="5">
                  <c:v>83.169167538189157</c:v>
                </c:pt>
                <c:pt idx="6">
                  <c:v>83.140278890556885</c:v>
                </c:pt>
                <c:pt idx="7">
                  <c:v>82.996065036459953</c:v>
                </c:pt>
                <c:pt idx="8">
                  <c:v>82.943403070934011</c:v>
                </c:pt>
                <c:pt idx="9">
                  <c:v>82.829871634636163</c:v>
                </c:pt>
                <c:pt idx="10">
                  <c:v>82.669004819389102</c:v>
                </c:pt>
                <c:pt idx="11">
                  <c:v>82.469584420524527</c:v>
                </c:pt>
                <c:pt idx="12">
                  <c:v>82.237394637800705</c:v>
                </c:pt>
                <c:pt idx="13">
                  <c:v>81.97622976787828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Efficiency!$BI$4:$BI$17</c:f>
              <c:numCache>
                <c:formatCode>0.0</c:formatCode>
                <c:ptCount val="14"/>
                <c:pt idx="0">
                  <c:v>63.822330334298265</c:v>
                </c:pt>
                <c:pt idx="1">
                  <c:v>72.699893240206123</c:v>
                </c:pt>
                <c:pt idx="2">
                  <c:v>75.978486207380271</c:v>
                </c:pt>
                <c:pt idx="3">
                  <c:v>77.530135068137284</c:v>
                </c:pt>
                <c:pt idx="4">
                  <c:v>78.32634387829853</c:v>
                </c:pt>
                <c:pt idx="5">
                  <c:v>78.725335953838609</c:v>
                </c:pt>
                <c:pt idx="6">
                  <c:v>78.889778055805991</c:v>
                </c:pt>
                <c:pt idx="7">
                  <c:v>78.904003897770323</c:v>
                </c:pt>
                <c:pt idx="8">
                  <c:v>78.986468398583256</c:v>
                </c:pt>
                <c:pt idx="9">
                  <c:v>78.991871779913495</c:v>
                </c:pt>
                <c:pt idx="10">
                  <c:v>78.938244806044565</c:v>
                </c:pt>
                <c:pt idx="11">
                  <c:v>78.837569052149831</c:v>
                </c:pt>
                <c:pt idx="12">
                  <c:v>78.698023089208277</c:v>
                </c:pt>
                <c:pt idx="13">
                  <c:v>78.525285057005092</c:v>
                </c:pt>
              </c:numCache>
            </c:numRef>
          </c:yVal>
          <c:smooth val="1"/>
        </c:ser>
        <c:axId val="199999872"/>
        <c:axId val="200001792"/>
      </c:scatterChart>
      <c:valAx>
        <c:axId val="199999872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5999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01792"/>
        <c:crosses val="autoZero"/>
        <c:crossBetween val="midCat"/>
        <c:majorUnit val="0.5"/>
        <c:minorUnit val="0.25"/>
      </c:valAx>
      <c:valAx>
        <c:axId val="200001792"/>
        <c:scaling>
          <c:orientation val="minMax"/>
          <c:max val="95"/>
          <c:min val="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696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99872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754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21" r="0.7500000000000092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</c:title>
    <c:plotArea>
      <c:layout>
        <c:manualLayout>
          <c:layoutTarget val="inner"/>
          <c:xMode val="edge"/>
          <c:yMode val="edge"/>
          <c:x val="0.13225832358538547"/>
          <c:y val="0.10866027305170003"/>
          <c:w val="0.81528175940313463"/>
          <c:h val="0.72752930406860039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trendlineLbl>
              <c:layout>
                <c:manualLayout>
                  <c:x val="-0.46004574261920145"/>
                  <c:y val="0.193558205754784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y = -0.0106x + 4.9529</a:t>
                    </a:r>
                    <a:endParaRPr lang="en-US" sz="12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Constants!$A$27:$A$28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Constants!$B$27:$B$28</c:f>
              <c:numCache>
                <c:formatCode>0.00</c:formatCode>
                <c:ptCount val="2"/>
                <c:pt idx="0">
                  <c:v>4.9000000000000004</c:v>
                </c:pt>
                <c:pt idx="1">
                  <c:v>4</c:v>
                </c:pt>
              </c:numCache>
            </c:numRef>
          </c:yVal>
        </c:ser>
        <c:axId val="201520640"/>
        <c:axId val="201522560"/>
      </c:scatterChart>
      <c:valAx>
        <c:axId val="201520640"/>
        <c:scaling>
          <c:orientation val="minMax"/>
          <c:max val="9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201522560"/>
        <c:crosses val="autoZero"/>
        <c:crossBetween val="midCat"/>
        <c:majorUnit val="10"/>
        <c:minorUnit val="10"/>
      </c:valAx>
      <c:valAx>
        <c:axId val="201522560"/>
        <c:scaling>
          <c:orientation val="minMax"/>
          <c:max val="5"/>
          <c:min val="3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</c:title>
        <c:numFmt formatCode="0.0" sourceLinked="0"/>
        <c:tickLblPos val="nextTo"/>
        <c:crossAx val="201520640"/>
        <c:crosses val="autoZero"/>
        <c:crossBetween val="midCat"/>
        <c:majorUnit val="0.25"/>
        <c:minorUnit val="0.25"/>
      </c:valAx>
    </c:plotArea>
    <c:legend>
      <c:legendPos val="r"/>
      <c:layout>
        <c:manualLayout>
          <c:xMode val="edge"/>
          <c:yMode val="edge"/>
          <c:x val="0.6700253155716972"/>
          <c:y val="0.13924063306800549"/>
          <c:w val="0.2491294117647059"/>
          <c:h val="0.14876996187284308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Efficiency!$B$19:$B$32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Efficiency!$U$19:$U$32</c:f>
              <c:numCache>
                <c:formatCode>0.0</c:formatCode>
                <c:ptCount val="14"/>
                <c:pt idx="0">
                  <c:v>80.922908517598273</c:v>
                </c:pt>
                <c:pt idx="1">
                  <c:v>85.992282100492645</c:v>
                </c:pt>
                <c:pt idx="2">
                  <c:v>87.395454133078658</c:v>
                </c:pt>
                <c:pt idx="3">
                  <c:v>87.784594592460124</c:v>
                </c:pt>
                <c:pt idx="4">
                  <c:v>87.751611206152944</c:v>
                </c:pt>
                <c:pt idx="5">
                  <c:v>87.502387407950764</c:v>
                </c:pt>
                <c:pt idx="6">
                  <c:v>87.126568952088817</c:v>
                </c:pt>
                <c:pt idx="7">
                  <c:v>86.668778635017091</c:v>
                </c:pt>
                <c:pt idx="8">
                  <c:v>86.299730609628071</c:v>
                </c:pt>
                <c:pt idx="9">
                  <c:v>85.880516979185344</c:v>
                </c:pt>
                <c:pt idx="10">
                  <c:v>85.418695452259641</c:v>
                </c:pt>
                <c:pt idx="11">
                  <c:v>84.918270397609717</c:v>
                </c:pt>
                <c:pt idx="12">
                  <c:v>84.380858397097626</c:v>
                </c:pt>
                <c:pt idx="13">
                  <c:v>83.806308553686449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Efficiency!$V$19:$V$32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Efficiency!$AO$19:$AO$32</c:f>
              <c:numCache>
                <c:formatCode>0.0</c:formatCode>
                <c:ptCount val="14"/>
                <c:pt idx="0">
                  <c:v>72.32313822259718</c:v>
                </c:pt>
                <c:pt idx="1">
                  <c:v>79.654833630378988</c:v>
                </c:pt>
                <c:pt idx="2">
                  <c:v>82.083895369467072</c:v>
                </c:pt>
                <c:pt idx="3">
                  <c:v>83.079108861819151</c:v>
                </c:pt>
                <c:pt idx="4">
                  <c:v>83.463080733004531</c:v>
                </c:pt>
                <c:pt idx="5">
                  <c:v>83.530823049103532</c:v>
                </c:pt>
                <c:pt idx="6">
                  <c:v>83.413841608077874</c:v>
                </c:pt>
                <c:pt idx="7">
                  <c:v>83.179269119920093</c:v>
                </c:pt>
                <c:pt idx="8">
                  <c:v>83.036841378191681</c:v>
                </c:pt>
                <c:pt idx="9">
                  <c:v>82.831389600929271</c:v>
                </c:pt>
                <c:pt idx="10">
                  <c:v>82.576514084226631</c:v>
                </c:pt>
                <c:pt idx="11">
                  <c:v>82.280935007840242</c:v>
                </c:pt>
                <c:pt idx="12">
                  <c:v>81.950280996470369</c:v>
                </c:pt>
                <c:pt idx="13">
                  <c:v>81.588113190019286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Efficiency!$AP$19:$AP$32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Efficiency!$BI$19:$BI$32</c:f>
              <c:numCache>
                <c:formatCode>0.0</c:formatCode>
                <c:ptCount val="14"/>
                <c:pt idx="0">
                  <c:v>64.337343305493604</c:v>
                </c:pt>
                <c:pt idx="1">
                  <c:v>73.319905653058669</c:v>
                </c:pt>
                <c:pt idx="2">
                  <c:v>76.597319815775805</c:v>
                </c:pt>
                <c:pt idx="3">
                  <c:v>78.1119099693789</c:v>
                </c:pt>
                <c:pt idx="4">
                  <c:v>78.855144450885078</c:v>
                </c:pt>
                <c:pt idx="5">
                  <c:v>79.192946776137774</c:v>
                </c:pt>
                <c:pt idx="6">
                  <c:v>79.291517181703071</c:v>
                </c:pt>
                <c:pt idx="7">
                  <c:v>79.236990041080276</c:v>
                </c:pt>
                <c:pt idx="8">
                  <c:v>79.251460202187957</c:v>
                </c:pt>
                <c:pt idx="9">
                  <c:v>79.186909384852939</c:v>
                </c:pt>
                <c:pt idx="10">
                  <c:v>79.061663430678337</c:v>
                </c:pt>
                <c:pt idx="11">
                  <c:v>78.887852327680662</c:v>
                </c:pt>
                <c:pt idx="12">
                  <c:v>78.67370533212825</c:v>
                </c:pt>
                <c:pt idx="13">
                  <c:v>78.424881150222035</c:v>
                </c:pt>
              </c:numCache>
            </c:numRef>
          </c:yVal>
          <c:smooth val="1"/>
        </c:ser>
        <c:axId val="200368128"/>
        <c:axId val="200370048"/>
      </c:scatterChart>
      <c:valAx>
        <c:axId val="200368128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70048"/>
        <c:crosses val="autoZero"/>
        <c:crossBetween val="midCat"/>
        <c:majorUnit val="0.5"/>
        <c:minorUnit val="0.25"/>
      </c:valAx>
      <c:valAx>
        <c:axId val="200370048"/>
        <c:scaling>
          <c:orientation val="minMax"/>
          <c:max val="95"/>
          <c:min val="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709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68128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75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the A8583</a:t>
            </a:r>
            <a:r>
              <a:rPr lang="en-US"/>
              <a:t>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Efficiency!$O$4:$O$17</c:f>
              <c:numCache>
                <c:formatCode>0.0</c:formatCode>
                <c:ptCount val="14"/>
                <c:pt idx="0">
                  <c:v>29.294222202333941</c:v>
                </c:pt>
                <c:pt idx="1">
                  <c:v>30.189681396367014</c:v>
                </c:pt>
                <c:pt idx="2">
                  <c:v>31.250940138746671</c:v>
                </c:pt>
                <c:pt idx="3">
                  <c:v>32.485616983703032</c:v>
                </c:pt>
                <c:pt idx="4">
                  <c:v>33.902649482362918</c:v>
                </c:pt>
                <c:pt idx="5">
                  <c:v>35.512477468560114</c:v>
                </c:pt>
                <c:pt idx="6">
                  <c:v>37.327265826993901</c:v>
                </c:pt>
                <c:pt idx="7">
                  <c:v>39.36117675062296</c:v>
                </c:pt>
                <c:pt idx="8">
                  <c:v>41.617540408428255</c:v>
                </c:pt>
                <c:pt idx="9">
                  <c:v>44.122129270781564</c:v>
                </c:pt>
                <c:pt idx="10">
                  <c:v>46.8959634186768</c:v>
                </c:pt>
                <c:pt idx="11">
                  <c:v>49.963737391661638</c:v>
                </c:pt>
                <c:pt idx="12">
                  <c:v>53.354577908196291</c:v>
                </c:pt>
                <c:pt idx="13">
                  <c:v>57.103018011277648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Efficiency!$AI$4:$AI$17</c:f>
              <c:numCache>
                <c:formatCode>0.0</c:formatCode>
                <c:ptCount val="14"/>
                <c:pt idx="0">
                  <c:v>31.861779094258466</c:v>
                </c:pt>
                <c:pt idx="1">
                  <c:v>33.506060149839385</c:v>
                </c:pt>
                <c:pt idx="2">
                  <c:v>35.266160595986612</c:v>
                </c:pt>
                <c:pt idx="3">
                  <c:v>37.148336680204764</c:v>
                </c:pt>
                <c:pt idx="4">
                  <c:v>39.15951882660552</c:v>
                </c:pt>
                <c:pt idx="5">
                  <c:v>41.307397925129806</c:v>
                </c:pt>
                <c:pt idx="6">
                  <c:v>43.600525605108956</c:v>
                </c:pt>
                <c:pt idx="7">
                  <c:v>46.048431407193128</c:v>
                </c:pt>
                <c:pt idx="8">
                  <c:v>48.650233790483966</c:v>
                </c:pt>
                <c:pt idx="9">
                  <c:v>51.423688319955616</c:v>
                </c:pt>
                <c:pt idx="10">
                  <c:v>54.381007140396513</c:v>
                </c:pt>
                <c:pt idx="11">
                  <c:v>57.535964895702094</c:v>
                </c:pt>
                <c:pt idx="12">
                  <c:v>60.904143505352089</c:v>
                </c:pt>
                <c:pt idx="13">
                  <c:v>64.503228646237076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Efficiency!$BC$4:$BC$17</c:f>
              <c:numCache>
                <c:formatCode>0.0</c:formatCode>
                <c:ptCount val="14"/>
                <c:pt idx="0">
                  <c:v>34.767028156743066</c:v>
                </c:pt>
                <c:pt idx="1">
                  <c:v>37.525781617675577</c:v>
                </c:pt>
                <c:pt idx="2">
                  <c:v>40.376108419071912</c:v>
                </c:pt>
                <c:pt idx="3">
                  <c:v>43.324331820981897</c:v>
                </c:pt>
                <c:pt idx="4">
                  <c:v>46.377247934990748</c:v>
                </c:pt>
                <c:pt idx="5">
                  <c:v>49.542185014064529</c:v>
                </c:pt>
                <c:pt idx="6">
                  <c:v>52.827070829004896</c:v>
                </c:pt>
                <c:pt idx="7">
                  <c:v>56.240509618101896</c:v>
                </c:pt>
                <c:pt idx="8">
                  <c:v>59.781741784677962</c:v>
                </c:pt>
                <c:pt idx="9">
                  <c:v>63.466106351652982</c:v>
                </c:pt>
                <c:pt idx="10">
                  <c:v>67.303788794015844</c:v>
                </c:pt>
                <c:pt idx="11">
                  <c:v>71.305991722851758</c:v>
                </c:pt>
                <c:pt idx="12">
                  <c:v>75.485075193260428</c:v>
                </c:pt>
                <c:pt idx="13">
                  <c:v>79.854721699538672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Efficiency!$H$84:$H$85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Efficiency!$I$84:$I$85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200429952"/>
        <c:axId val="200431872"/>
      </c:scatterChart>
      <c:valAx>
        <c:axId val="200429952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31872"/>
        <c:crosses val="autoZero"/>
        <c:crossBetween val="midCat"/>
        <c:majorUnit val="0.5"/>
        <c:minorUnit val="0.25"/>
      </c:valAx>
      <c:valAx>
        <c:axId val="200431872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05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29952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779"/>
          <c:w val="0.16859142607174113"/>
          <c:h val="0.1594616677099463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the A8583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19352955880514935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Efficiency!$B$19:$B$32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Efficiency!$O$19:$O$32</c:f>
              <c:numCache>
                <c:formatCode>0.0</c:formatCode>
                <c:ptCount val="14"/>
                <c:pt idx="0">
                  <c:v>89.330160756462902</c:v>
                </c:pt>
                <c:pt idx="1">
                  <c:v>90.312096689571973</c:v>
                </c:pt>
                <c:pt idx="2">
                  <c:v>91.520394772241659</c:v>
                </c:pt>
                <c:pt idx="3">
                  <c:v>92.965707507364499</c:v>
                </c:pt>
                <c:pt idx="4">
                  <c:v>94.660553226370936</c:v>
                </c:pt>
                <c:pt idx="5">
                  <c:v>96.619599450611176</c:v>
                </c:pt>
                <c:pt idx="6">
                  <c:v>98.86000890146417</c:v>
                </c:pt>
                <c:pt idx="7">
                  <c:v>101.40186535582821</c:v>
                </c:pt>
                <c:pt idx="8">
                  <c:v>104.25053433631308</c:v>
                </c:pt>
                <c:pt idx="9">
                  <c:v>107.44271149212607</c:v>
                </c:pt>
                <c:pt idx="10">
                  <c:v>111.00895253429533</c:v>
                </c:pt>
                <c:pt idx="11">
                  <c:v>114.98548921307381</c:v>
                </c:pt>
                <c:pt idx="12">
                  <c:v>119.41550672137274</c:v>
                </c:pt>
                <c:pt idx="13">
                  <c:v>124.35081882039574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Efficiency!$V$19:$V$32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Efficiency!$AI$19:$AI$32</c:f>
              <c:numCache>
                <c:formatCode>0.0</c:formatCode>
                <c:ptCount val="14"/>
                <c:pt idx="0">
                  <c:v>91.888527291614523</c:v>
                </c:pt>
                <c:pt idx="1">
                  <c:v>93.590478869942331</c:v>
                </c:pt>
                <c:pt idx="2">
                  <c:v>95.448270601166868</c:v>
                </c:pt>
                <c:pt idx="3">
                  <c:v>97.469801669615222</c:v>
                </c:pt>
                <c:pt idx="4">
                  <c:v>99.663880287667581</c:v>
                </c:pt>
                <c:pt idx="5">
                  <c:v>102.04034552092872</c:v>
                </c:pt>
                <c:pt idx="6">
                  <c:v>104.61020949659915</c:v>
                </c:pt>
                <c:pt idx="7">
                  <c:v>107.38582450461804</c:v>
                </c:pt>
                <c:pt idx="8">
                  <c:v>110.36543215415992</c:v>
                </c:pt>
                <c:pt idx="9">
                  <c:v>113.57268218929843</c:v>
                </c:pt>
                <c:pt idx="10">
                  <c:v>117.02372634125545</c:v>
                </c:pt>
                <c:pt idx="11">
                  <c:v>120.73692542773551</c:v>
                </c:pt>
                <c:pt idx="12">
                  <c:v>124.73321565549777</c:v>
                </c:pt>
                <c:pt idx="13">
                  <c:v>129.0365574560951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Efficiency!$AP$19:$AP$32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Efficiency!$BC$19:$BC$32</c:f>
              <c:numCache>
                <c:formatCode>0.0</c:formatCode>
                <c:ptCount val="14"/>
                <c:pt idx="0">
                  <c:v>94.788284824467169</c:v>
                </c:pt>
                <c:pt idx="1">
                  <c:v>97.590263985566025</c:v>
                </c:pt>
                <c:pt idx="2">
                  <c:v>100.51366824745611</c:v>
                </c:pt>
                <c:pt idx="3">
                  <c:v>103.56590977824885</c:v>
                </c:pt>
                <c:pt idx="4">
                  <c:v>106.75501086147224</c:v>
                </c:pt>
                <c:pt idx="5">
                  <c:v>110.08968145088615</c:v>
                </c:pt>
                <c:pt idx="6">
                  <c:v>113.57940770147164</c:v>
                </c:pt>
                <c:pt idx="7">
                  <c:v>117.23455359135721</c:v>
                </c:pt>
                <c:pt idx="8">
                  <c:v>121.05298730555498</c:v>
                </c:pt>
                <c:pt idx="9">
                  <c:v>125.0540988020071</c:v>
                </c:pt>
                <c:pt idx="10">
                  <c:v>129.25035184099693</c:v>
                </c:pt>
                <c:pt idx="11">
                  <c:v>133.65555721643929</c:v>
                </c:pt>
                <c:pt idx="12">
                  <c:v>138.2850645905757</c:v>
                </c:pt>
                <c:pt idx="13">
                  <c:v>143.15599007590095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Efficiency!$H$84:$H$85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Efficiency!$I$84:$I$85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200491776"/>
        <c:axId val="200493696"/>
      </c:scatterChart>
      <c:valAx>
        <c:axId val="200491776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93696"/>
        <c:crosses val="autoZero"/>
        <c:crossBetween val="midCat"/>
        <c:majorUnit val="0.5"/>
        <c:minorUnit val="0.25"/>
      </c:valAx>
      <c:valAx>
        <c:axId val="200493696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9177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323"/>
          <c:y val="0.15375943069877779"/>
          <c:w val="0.14875015623047128"/>
          <c:h val="0.1594616677099463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1505"/>
          <c:y val="2.08453859585543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Efficiency!$N$4:$N$17</c:f>
              <c:numCache>
                <c:formatCode>0.0</c:formatCode>
                <c:ptCount val="14"/>
                <c:pt idx="0">
                  <c:v>27.565221409984925</c:v>
                </c:pt>
                <c:pt idx="1">
                  <c:v>30.368633417147354</c:v>
                </c:pt>
                <c:pt idx="2">
                  <c:v>33.400616049996827</c:v>
                </c:pt>
                <c:pt idx="3">
                  <c:v>36.651800700737269</c:v>
                </c:pt>
                <c:pt idx="4">
                  <c:v>40.113015521121604</c:v>
                </c:pt>
                <c:pt idx="5">
                  <c:v>43.775228515443594</c:v>
                </c:pt>
                <c:pt idx="6">
                  <c:v>47.629486846031583</c:v>
                </c:pt>
                <c:pt idx="7">
                  <c:v>51.666850542659475</c:v>
                </c:pt>
                <c:pt idx="8">
                  <c:v>55.070856172245897</c:v>
                </c:pt>
                <c:pt idx="9">
                  <c:v>58.483122362283787</c:v>
                </c:pt>
                <c:pt idx="10">
                  <c:v>61.900784224010735</c:v>
                </c:pt>
                <c:pt idx="11">
                  <c:v>65.320628475026126</c:v>
                </c:pt>
                <c:pt idx="12">
                  <c:v>68.739015720402023</c:v>
                </c:pt>
                <c:pt idx="13">
                  <c:v>72.15178075465451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Efficiency!$AH$4:$AH$17</c:f>
              <c:numCache>
                <c:formatCode>0.0</c:formatCode>
                <c:ptCount val="14"/>
                <c:pt idx="0">
                  <c:v>28.213652386082284</c:v>
                </c:pt>
                <c:pt idx="1">
                  <c:v>31.728784184702398</c:v>
                </c:pt>
                <c:pt idx="2">
                  <c:v>35.534151757927205</c:v>
                </c:pt>
                <c:pt idx="3">
                  <c:v>39.618968338620405</c:v>
                </c:pt>
                <c:pt idx="4">
                  <c:v>43.972862296074204</c:v>
                </c:pt>
                <c:pt idx="5">
                  <c:v>48.585836882616299</c:v>
                </c:pt>
                <c:pt idx="6">
                  <c:v>53.44823095713528</c:v>
                </c:pt>
                <c:pt idx="7">
                  <c:v>58.55068015204516</c:v>
                </c:pt>
                <c:pt idx="8">
                  <c:v>62.848577838954405</c:v>
                </c:pt>
                <c:pt idx="9">
                  <c:v>67.164779093253841</c:v>
                </c:pt>
                <c:pt idx="10">
                  <c:v>71.49772236555782</c:v>
                </c:pt>
                <c:pt idx="11">
                  <c:v>75.845774979520797</c:v>
                </c:pt>
                <c:pt idx="12">
                  <c:v>80.207216352928583</c:v>
                </c:pt>
                <c:pt idx="13">
                  <c:v>84.580218006894214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Efficiency!$BB$4:$BB$17</c:f>
              <c:numCache>
                <c:formatCode>0.0</c:formatCode>
                <c:ptCount val="14"/>
                <c:pt idx="0">
                  <c:v>28.542806923318189</c:v>
                </c:pt>
                <c:pt idx="1">
                  <c:v>32.416868835528682</c:v>
                </c:pt>
                <c:pt idx="2">
                  <c:v>36.60976627398631</c:v>
                </c:pt>
                <c:pt idx="3">
                  <c:v>41.109631640861622</c:v>
                </c:pt>
                <c:pt idx="4">
                  <c:v>45.905107660073291</c:v>
                </c:pt>
                <c:pt idx="5">
                  <c:v>50.985308191437248</c:v>
                </c:pt>
                <c:pt idx="6">
                  <c:v>56.339781036065446</c:v>
                </c:pt>
                <c:pt idx="7">
                  <c:v>61.958472375657692</c:v>
                </c:pt>
                <c:pt idx="8">
                  <c:v>66.681161946697245</c:v>
                </c:pt>
                <c:pt idx="9">
                  <c:v>71.422572072389215</c:v>
                </c:pt>
                <c:pt idx="10">
                  <c:v>76.181457611105145</c:v>
                </c:pt>
                <c:pt idx="11">
                  <c:v>80.956556842667169</c:v>
                </c:pt>
                <c:pt idx="12">
                  <c:v>85.746583449138427</c:v>
                </c:pt>
                <c:pt idx="13">
                  <c:v>90.550217447193958</c:v>
                </c:pt>
              </c:numCache>
            </c:numRef>
          </c:yVal>
          <c:smooth val="1"/>
        </c:ser>
        <c:axId val="200544256"/>
        <c:axId val="200546176"/>
      </c:scatterChart>
      <c:valAx>
        <c:axId val="200544256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46176"/>
        <c:crosses val="autoZero"/>
        <c:crossBetween val="midCat"/>
        <c:majorUnit val="0.5"/>
        <c:minorUnit val="0.25"/>
      </c:valAx>
      <c:valAx>
        <c:axId val="200546176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4425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142"/>
          <c:y val="0.10912902623573729"/>
          <c:w val="0.12461751371987591"/>
          <c:h val="0.1578844644419476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Efficiency!$B$19:$B$32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Efficiency!$N$19:$N$32</c:f>
              <c:numCache>
                <c:formatCode>0.0</c:formatCode>
                <c:ptCount val="14"/>
                <c:pt idx="0">
                  <c:v>87.102942422560233</c:v>
                </c:pt>
                <c:pt idx="1">
                  <c:v>89.452952292145568</c:v>
                </c:pt>
                <c:pt idx="2">
                  <c:v>92.03910150827727</c:v>
                </c:pt>
                <c:pt idx="3">
                  <c:v>94.85073576162749</c:v>
                </c:pt>
                <c:pt idx="4">
                  <c:v>97.877402518252069</c:v>
                </c:pt>
                <c:pt idx="5">
                  <c:v>101.10877516087901</c:v>
                </c:pt>
                <c:pt idx="6">
                  <c:v>104.53457104098551</c:v>
                </c:pt>
                <c:pt idx="7">
                  <c:v>108.1444606435996</c:v>
                </c:pt>
                <c:pt idx="8">
                  <c:v>111.11825446242027</c:v>
                </c:pt>
                <c:pt idx="9">
                  <c:v>114.10041828791795</c:v>
                </c:pt>
                <c:pt idx="10">
                  <c:v>117.08722077121267</c:v>
                </c:pt>
                <c:pt idx="11">
                  <c:v>120.07444161657156</c:v>
                </c:pt>
                <c:pt idx="12">
                  <c:v>123.05725251214417</c:v>
                </c:pt>
                <c:pt idx="13">
                  <c:v>126.03006138240572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Efficiency!$V$19:$V$32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Efficiency!$AH$19:$AH$32</c:f>
              <c:numCache>
                <c:formatCode>0.0</c:formatCode>
                <c:ptCount val="14"/>
                <c:pt idx="0">
                  <c:v>87.62986764796419</c:v>
                </c:pt>
                <c:pt idx="1">
                  <c:v>90.574642005082978</c:v>
                </c:pt>
                <c:pt idx="2">
                  <c:v>93.822090526184297</c:v>
                </c:pt>
                <c:pt idx="3">
                  <c:v>97.360483842647099</c:v>
                </c:pt>
                <c:pt idx="4">
                  <c:v>101.178546115008</c:v>
                </c:pt>
                <c:pt idx="5">
                  <c:v>105.26540697021844</c:v>
                </c:pt>
                <c:pt idx="6">
                  <c:v>109.6105543559313</c:v>
                </c:pt>
                <c:pt idx="7">
                  <c:v>114.20378759314485</c:v>
                </c:pt>
                <c:pt idx="8">
                  <c:v>117.99500242263963</c:v>
                </c:pt>
                <c:pt idx="9">
                  <c:v>121.8113250016291</c:v>
                </c:pt>
                <c:pt idx="10">
                  <c:v>125.65076975722732</c:v>
                </c:pt>
                <c:pt idx="11">
                  <c:v>129.51126232964685</c:v>
                </c:pt>
                <c:pt idx="12">
                  <c:v>133.39061658409844</c:v>
                </c:pt>
                <c:pt idx="13">
                  <c:v>137.28650696734215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Efficiency!$AP$19:$AP$32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Efficiency!$BB$19:$BB$32</c:f>
              <c:numCache>
                <c:formatCode>0.0</c:formatCode>
                <c:ptCount val="14"/>
                <c:pt idx="0">
                  <c:v>87.896283573343027</c:v>
                </c:pt>
                <c:pt idx="1">
                  <c:v>91.139602451535865</c:v>
                </c:pt>
                <c:pt idx="2">
                  <c:v>94.716634866405329</c:v>
                </c:pt>
                <c:pt idx="3">
                  <c:v>98.614660717987647</c:v>
                </c:pt>
                <c:pt idx="4">
                  <c:v>102.82151434981888</c:v>
                </c:pt>
                <c:pt idx="5">
                  <c:v>107.32553999147819</c:v>
                </c:pt>
                <c:pt idx="6">
                  <c:v>112.1155494213331</c:v>
                </c:pt>
                <c:pt idx="7">
                  <c:v>117.18078140961126</c:v>
                </c:pt>
                <c:pt idx="8">
                  <c:v>121.35567514484966</c:v>
                </c:pt>
                <c:pt idx="9">
                  <c:v>125.55892785653</c:v>
                </c:pt>
                <c:pt idx="10">
                  <c:v>129.78891320122534</c:v>
                </c:pt>
                <c:pt idx="11">
                  <c:v>134.04399161015613</c:v>
                </c:pt>
                <c:pt idx="12">
                  <c:v>138.32249997738731</c:v>
                </c:pt>
                <c:pt idx="13">
                  <c:v>142.62273997839122</c:v>
                </c:pt>
              </c:numCache>
            </c:numRef>
          </c:yVal>
          <c:smooth val="1"/>
        </c:ser>
        <c:axId val="200580480"/>
        <c:axId val="199493120"/>
      </c:scatterChart>
      <c:valAx>
        <c:axId val="200580480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93120"/>
        <c:crosses val="autoZero"/>
        <c:crossBetween val="midCat"/>
        <c:majorUnit val="0.5"/>
        <c:minorUnit val="0.25"/>
      </c:valAx>
      <c:valAx>
        <c:axId val="19949312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8048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142"/>
          <c:y val="0.10912902623573729"/>
          <c:w val="0.12461751371987591"/>
          <c:h val="0.1578844644419476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4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Dropout!$C$4</c:f>
              <c:strCache>
                <c:ptCount val="1"/>
                <c:pt idx="0">
                  <c:v>3.50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3.3239005736137672</c:v>
                </c:pt>
                <c:pt idx="1">
                  <c:v>3.3239005736137672</c:v>
                </c:pt>
                <c:pt idx="2">
                  <c:v>3.3239005736137672</c:v>
                </c:pt>
                <c:pt idx="3">
                  <c:v>3.3239005736137672</c:v>
                </c:pt>
                <c:pt idx="4">
                  <c:v>3.3239005736137672</c:v>
                </c:pt>
                <c:pt idx="5">
                  <c:v>3.3239005736137672</c:v>
                </c:pt>
                <c:pt idx="6">
                  <c:v>3.3239005736137672</c:v>
                </c:pt>
                <c:pt idx="7">
                  <c:v>3.3239005736137672</c:v>
                </c:pt>
                <c:pt idx="8">
                  <c:v>3.3239005736137672</c:v>
                </c:pt>
                <c:pt idx="9">
                  <c:v>3.3239005736137672</c:v>
                </c:pt>
                <c:pt idx="10">
                  <c:v>3.3239005736137672</c:v>
                </c:pt>
                <c:pt idx="11">
                  <c:v>3.3239005736137672</c:v>
                </c:pt>
                <c:pt idx="12">
                  <c:v>3.3239005736137672</c:v>
                </c:pt>
                <c:pt idx="13">
                  <c:v>3.3239005736137672</c:v>
                </c:pt>
                <c:pt idx="14">
                  <c:v>3.3239005736137672</c:v>
                </c:pt>
                <c:pt idx="15">
                  <c:v>3.3239005736137672</c:v>
                </c:pt>
                <c:pt idx="16">
                  <c:v>3.3239005736137672</c:v>
                </c:pt>
                <c:pt idx="17">
                  <c:v>3.3239005736137672</c:v>
                </c:pt>
                <c:pt idx="18">
                  <c:v>3.3239005736137672</c:v>
                </c:pt>
                <c:pt idx="19">
                  <c:v>3.3239005736137672</c:v>
                </c:pt>
                <c:pt idx="20">
                  <c:v>3.3239005736137672</c:v>
                </c:pt>
                <c:pt idx="21">
                  <c:v>3.3239005736137672</c:v>
                </c:pt>
                <c:pt idx="22">
                  <c:v>3.3239005736137672</c:v>
                </c:pt>
                <c:pt idx="23">
                  <c:v>3.3239005736137672</c:v>
                </c:pt>
                <c:pt idx="24">
                  <c:v>3.3239005736137672</c:v>
                </c:pt>
                <c:pt idx="25">
                  <c:v>3.3239005736137672</c:v>
                </c:pt>
                <c:pt idx="26">
                  <c:v>3.3239005736137672</c:v>
                </c:pt>
                <c:pt idx="27">
                  <c:v>3.3239005736137672</c:v>
                </c:pt>
                <c:pt idx="28">
                  <c:v>3.3239005736137672</c:v>
                </c:pt>
                <c:pt idx="29">
                  <c:v>3.3239005736137672</c:v>
                </c:pt>
                <c:pt idx="30">
                  <c:v>3.3239005736137672</c:v>
                </c:pt>
                <c:pt idx="31">
                  <c:v>3.3239005736137672</c:v>
                </c:pt>
                <c:pt idx="32">
                  <c:v>3.3239005736137672</c:v>
                </c:pt>
                <c:pt idx="33">
                  <c:v>3.3239005736137672</c:v>
                </c:pt>
                <c:pt idx="34">
                  <c:v>3.3239005736137672</c:v>
                </c:pt>
                <c:pt idx="35">
                  <c:v>3.3239005736137672</c:v>
                </c:pt>
                <c:pt idx="36">
                  <c:v>3.3239005736137672</c:v>
                </c:pt>
                <c:pt idx="37">
                  <c:v>3.2695264921368858</c:v>
                </c:pt>
                <c:pt idx="38">
                  <c:v>3.0918567678719695</c:v>
                </c:pt>
                <c:pt idx="39">
                  <c:v>2.9141612929838665</c:v>
                </c:pt>
                <c:pt idx="40">
                  <c:v>2.7364400787952139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</c:f>
              <c:strCache>
                <c:ptCount val="1"/>
                <c:pt idx="0">
                  <c:v>2.33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3.3239005736137672</c:v>
                </c:pt>
                <c:pt idx="1">
                  <c:v>3.3239005736137672</c:v>
                </c:pt>
                <c:pt idx="2">
                  <c:v>3.3239005736137672</c:v>
                </c:pt>
                <c:pt idx="3">
                  <c:v>3.3239005736137672</c:v>
                </c:pt>
                <c:pt idx="4">
                  <c:v>3.3239005736137672</c:v>
                </c:pt>
                <c:pt idx="5">
                  <c:v>3.3239005736137672</c:v>
                </c:pt>
                <c:pt idx="6">
                  <c:v>3.3239005736137672</c:v>
                </c:pt>
                <c:pt idx="7">
                  <c:v>3.3239005736137672</c:v>
                </c:pt>
                <c:pt idx="8">
                  <c:v>3.3239005736137672</c:v>
                </c:pt>
                <c:pt idx="9">
                  <c:v>3.3239005736137672</c:v>
                </c:pt>
                <c:pt idx="10">
                  <c:v>3.3239005736137672</c:v>
                </c:pt>
                <c:pt idx="11">
                  <c:v>3.3239005736137672</c:v>
                </c:pt>
                <c:pt idx="12">
                  <c:v>3.3239005736137672</c:v>
                </c:pt>
                <c:pt idx="13">
                  <c:v>3.3239005736137672</c:v>
                </c:pt>
                <c:pt idx="14">
                  <c:v>3.3239005736137672</c:v>
                </c:pt>
                <c:pt idx="15">
                  <c:v>3.3239005736137672</c:v>
                </c:pt>
                <c:pt idx="16">
                  <c:v>3.3239005736137672</c:v>
                </c:pt>
                <c:pt idx="17">
                  <c:v>3.3239005736137672</c:v>
                </c:pt>
                <c:pt idx="18">
                  <c:v>3.3239005736137672</c:v>
                </c:pt>
                <c:pt idx="19">
                  <c:v>3.3239005736137672</c:v>
                </c:pt>
                <c:pt idx="20">
                  <c:v>3.3239005736137672</c:v>
                </c:pt>
                <c:pt idx="21">
                  <c:v>3.3239005736137672</c:v>
                </c:pt>
                <c:pt idx="22">
                  <c:v>3.3239005736137672</c:v>
                </c:pt>
                <c:pt idx="23">
                  <c:v>3.3239005736137672</c:v>
                </c:pt>
                <c:pt idx="24">
                  <c:v>3.3239005736137672</c:v>
                </c:pt>
                <c:pt idx="25">
                  <c:v>3.3239005736137672</c:v>
                </c:pt>
                <c:pt idx="26">
                  <c:v>3.3239005736137672</c:v>
                </c:pt>
                <c:pt idx="27">
                  <c:v>3.3239005736137672</c:v>
                </c:pt>
                <c:pt idx="28">
                  <c:v>3.3239005736137672</c:v>
                </c:pt>
                <c:pt idx="29">
                  <c:v>3.3239005736137672</c:v>
                </c:pt>
                <c:pt idx="30">
                  <c:v>3.3239005736137672</c:v>
                </c:pt>
                <c:pt idx="31">
                  <c:v>3.3239005736137672</c:v>
                </c:pt>
                <c:pt idx="32">
                  <c:v>3.3239005736137672</c:v>
                </c:pt>
                <c:pt idx="33">
                  <c:v>3.3239005736137672</c:v>
                </c:pt>
                <c:pt idx="34">
                  <c:v>3.3239005736137672</c:v>
                </c:pt>
                <c:pt idx="35">
                  <c:v>3.3239005736137672</c:v>
                </c:pt>
                <c:pt idx="36">
                  <c:v>3.3239005736137672</c:v>
                </c:pt>
                <c:pt idx="37">
                  <c:v>3.3239005736137672</c:v>
                </c:pt>
                <c:pt idx="38">
                  <c:v>3.3004489441083642</c:v>
                </c:pt>
                <c:pt idx="39">
                  <c:v>3.1223925678511</c:v>
                </c:pt>
                <c:pt idx="40">
                  <c:v>2.9443257704432693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</c:f>
              <c:strCache>
                <c:ptCount val="1"/>
                <c:pt idx="0">
                  <c:v>1.17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3.3239005736137672</c:v>
                </c:pt>
                <c:pt idx="1">
                  <c:v>3.3239005736137672</c:v>
                </c:pt>
                <c:pt idx="2">
                  <c:v>3.3239005736137672</c:v>
                </c:pt>
                <c:pt idx="3">
                  <c:v>3.3239005736137672</c:v>
                </c:pt>
                <c:pt idx="4">
                  <c:v>3.3239005736137672</c:v>
                </c:pt>
                <c:pt idx="5">
                  <c:v>3.3239005736137672</c:v>
                </c:pt>
                <c:pt idx="6">
                  <c:v>3.3239005736137672</c:v>
                </c:pt>
                <c:pt idx="7">
                  <c:v>3.3239005736137672</c:v>
                </c:pt>
                <c:pt idx="8">
                  <c:v>3.3239005736137672</c:v>
                </c:pt>
                <c:pt idx="9">
                  <c:v>3.3239005736137672</c:v>
                </c:pt>
                <c:pt idx="10">
                  <c:v>3.3239005736137672</c:v>
                </c:pt>
                <c:pt idx="11">
                  <c:v>3.3239005736137672</c:v>
                </c:pt>
                <c:pt idx="12">
                  <c:v>3.3239005736137672</c:v>
                </c:pt>
                <c:pt idx="13">
                  <c:v>3.3239005736137672</c:v>
                </c:pt>
                <c:pt idx="14">
                  <c:v>3.3239005736137672</c:v>
                </c:pt>
                <c:pt idx="15">
                  <c:v>3.3239005736137672</c:v>
                </c:pt>
                <c:pt idx="16">
                  <c:v>3.3239005736137672</c:v>
                </c:pt>
                <c:pt idx="17">
                  <c:v>3.3239005736137672</c:v>
                </c:pt>
                <c:pt idx="18">
                  <c:v>3.3239005736137672</c:v>
                </c:pt>
                <c:pt idx="19">
                  <c:v>3.3239005736137672</c:v>
                </c:pt>
                <c:pt idx="20">
                  <c:v>3.3239005736137672</c:v>
                </c:pt>
                <c:pt idx="21">
                  <c:v>3.3239005736137672</c:v>
                </c:pt>
                <c:pt idx="22">
                  <c:v>3.3239005736137672</c:v>
                </c:pt>
                <c:pt idx="23">
                  <c:v>3.3239005736137672</c:v>
                </c:pt>
                <c:pt idx="24">
                  <c:v>3.3239005736137672</c:v>
                </c:pt>
                <c:pt idx="25">
                  <c:v>3.3239005736137672</c:v>
                </c:pt>
                <c:pt idx="26">
                  <c:v>3.3239005736137672</c:v>
                </c:pt>
                <c:pt idx="27">
                  <c:v>3.3239005736137672</c:v>
                </c:pt>
                <c:pt idx="28">
                  <c:v>3.3239005736137672</c:v>
                </c:pt>
                <c:pt idx="29">
                  <c:v>3.3239005736137672</c:v>
                </c:pt>
                <c:pt idx="30">
                  <c:v>3.3239005736137672</c:v>
                </c:pt>
                <c:pt idx="31">
                  <c:v>3.3239005736137672</c:v>
                </c:pt>
                <c:pt idx="32">
                  <c:v>3.3239005736137672</c:v>
                </c:pt>
                <c:pt idx="33">
                  <c:v>3.3239005736137672</c:v>
                </c:pt>
                <c:pt idx="34">
                  <c:v>3.3239005736137672</c:v>
                </c:pt>
                <c:pt idx="35">
                  <c:v>3.3239005736137672</c:v>
                </c:pt>
                <c:pt idx="36">
                  <c:v>3.3239005736137672</c:v>
                </c:pt>
                <c:pt idx="37">
                  <c:v>3.3239005736137672</c:v>
                </c:pt>
                <c:pt idx="38">
                  <c:v>3.3239005736137672</c:v>
                </c:pt>
                <c:pt idx="39">
                  <c:v>3.2947356682917404</c:v>
                </c:pt>
                <c:pt idx="40">
                  <c:v>3.1164769576067997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axId val="200680960"/>
        <c:axId val="200682880"/>
      </c:scatterChart>
      <c:valAx>
        <c:axId val="200680960"/>
        <c:scaling>
          <c:orientation val="minMax"/>
          <c:max val="11.8"/>
          <c:min val="3.8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82880"/>
        <c:crosses val="autoZero"/>
        <c:crossBetween val="midCat"/>
        <c:majorUnit val="0.8"/>
        <c:minorUnit val="0.4"/>
      </c:valAx>
      <c:valAx>
        <c:axId val="200682880"/>
        <c:scaling>
          <c:orientation val="minMax"/>
          <c:max val="8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679E-2"/>
              <c:y val="0.307160412479821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809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942600924884387"/>
          <c:y val="0.11191842651467704"/>
          <c:w val="0.1468136795400575"/>
          <c:h val="0.2152496732887468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Dropout!$C$47</c:f>
              <c:strCache>
                <c:ptCount val="1"/>
                <c:pt idx="0">
                  <c:v>3.50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3.3239005736137672</c:v>
                </c:pt>
                <c:pt idx="1">
                  <c:v>3.3239005736137672</c:v>
                </c:pt>
                <c:pt idx="2">
                  <c:v>3.3239005736137672</c:v>
                </c:pt>
                <c:pt idx="3">
                  <c:v>3.3239005736137672</c:v>
                </c:pt>
                <c:pt idx="4">
                  <c:v>3.3239005736137672</c:v>
                </c:pt>
                <c:pt idx="5">
                  <c:v>3.3239005736137672</c:v>
                </c:pt>
                <c:pt idx="6">
                  <c:v>3.3239005736137672</c:v>
                </c:pt>
                <c:pt idx="7">
                  <c:v>3.3239005736137672</c:v>
                </c:pt>
                <c:pt idx="8">
                  <c:v>3.3239005736137672</c:v>
                </c:pt>
                <c:pt idx="9">
                  <c:v>3.3239005736137672</c:v>
                </c:pt>
                <c:pt idx="10">
                  <c:v>3.3239005736137672</c:v>
                </c:pt>
                <c:pt idx="11">
                  <c:v>3.3239005736137672</c:v>
                </c:pt>
                <c:pt idx="12">
                  <c:v>3.3239005736137672</c:v>
                </c:pt>
                <c:pt idx="13">
                  <c:v>3.3239005736137672</c:v>
                </c:pt>
                <c:pt idx="14">
                  <c:v>3.3239005736137672</c:v>
                </c:pt>
                <c:pt idx="15">
                  <c:v>3.3239005736137672</c:v>
                </c:pt>
                <c:pt idx="16">
                  <c:v>3.3239005736137672</c:v>
                </c:pt>
                <c:pt idx="17">
                  <c:v>3.3239005736137672</c:v>
                </c:pt>
                <c:pt idx="18">
                  <c:v>3.3239005736137672</c:v>
                </c:pt>
                <c:pt idx="19">
                  <c:v>3.3239005736137672</c:v>
                </c:pt>
                <c:pt idx="20">
                  <c:v>3.3239005736137672</c:v>
                </c:pt>
                <c:pt idx="21">
                  <c:v>3.3239005736137672</c:v>
                </c:pt>
                <c:pt idx="22">
                  <c:v>3.3239005736137672</c:v>
                </c:pt>
                <c:pt idx="23">
                  <c:v>3.3239005736137672</c:v>
                </c:pt>
                <c:pt idx="24">
                  <c:v>3.3239005736137672</c:v>
                </c:pt>
                <c:pt idx="25">
                  <c:v>3.3239005736137672</c:v>
                </c:pt>
                <c:pt idx="26">
                  <c:v>3.3239005736137672</c:v>
                </c:pt>
                <c:pt idx="27">
                  <c:v>3.3239005736137672</c:v>
                </c:pt>
                <c:pt idx="28">
                  <c:v>3.3239005736137672</c:v>
                </c:pt>
                <c:pt idx="29">
                  <c:v>3.3239005736137672</c:v>
                </c:pt>
                <c:pt idx="30">
                  <c:v>3.3239005736137672</c:v>
                </c:pt>
                <c:pt idx="31">
                  <c:v>3.3239005736137672</c:v>
                </c:pt>
                <c:pt idx="32">
                  <c:v>3.3239005736137672</c:v>
                </c:pt>
                <c:pt idx="33">
                  <c:v>3.3239005736137672</c:v>
                </c:pt>
                <c:pt idx="34">
                  <c:v>3.26804001664184</c:v>
                </c:pt>
                <c:pt idx="35">
                  <c:v>3.1089378290565022</c:v>
                </c:pt>
                <c:pt idx="36">
                  <c:v>2.949380121779785</c:v>
                </c:pt>
                <c:pt idx="37">
                  <c:v>2.791282809370971</c:v>
                </c:pt>
                <c:pt idx="38">
                  <c:v>2.6360770732315038</c:v>
                </c:pt>
                <c:pt idx="39">
                  <c:v>2.4808488422947708</c:v>
                </c:pt>
                <c:pt idx="40">
                  <c:v>2.3255981264518102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Dropout!$R$47</c:f>
              <c:strCache>
                <c:ptCount val="1"/>
                <c:pt idx="0">
                  <c:v>2.33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3.3239005736137672</c:v>
                </c:pt>
                <c:pt idx="1">
                  <c:v>3.3239005736137672</c:v>
                </c:pt>
                <c:pt idx="2">
                  <c:v>3.3239005736137672</c:v>
                </c:pt>
                <c:pt idx="3">
                  <c:v>3.3239005736137672</c:v>
                </c:pt>
                <c:pt idx="4">
                  <c:v>3.3239005736137672</c:v>
                </c:pt>
                <c:pt idx="5">
                  <c:v>3.3239005736137672</c:v>
                </c:pt>
                <c:pt idx="6">
                  <c:v>3.3239005736137672</c:v>
                </c:pt>
                <c:pt idx="7">
                  <c:v>3.3239005736137672</c:v>
                </c:pt>
                <c:pt idx="8">
                  <c:v>3.3239005736137672</c:v>
                </c:pt>
                <c:pt idx="9">
                  <c:v>3.3239005736137672</c:v>
                </c:pt>
                <c:pt idx="10">
                  <c:v>3.3239005736137672</c:v>
                </c:pt>
                <c:pt idx="11">
                  <c:v>3.3239005736137672</c:v>
                </c:pt>
                <c:pt idx="12">
                  <c:v>3.3239005736137672</c:v>
                </c:pt>
                <c:pt idx="13">
                  <c:v>3.3239005736137672</c:v>
                </c:pt>
                <c:pt idx="14">
                  <c:v>3.3239005736137672</c:v>
                </c:pt>
                <c:pt idx="15">
                  <c:v>3.3239005736137672</c:v>
                </c:pt>
                <c:pt idx="16">
                  <c:v>3.3239005736137672</c:v>
                </c:pt>
                <c:pt idx="17">
                  <c:v>3.3239005736137672</c:v>
                </c:pt>
                <c:pt idx="18">
                  <c:v>3.3239005736137672</c:v>
                </c:pt>
                <c:pt idx="19">
                  <c:v>3.3239005736137672</c:v>
                </c:pt>
                <c:pt idx="20">
                  <c:v>3.3239005736137672</c:v>
                </c:pt>
                <c:pt idx="21">
                  <c:v>3.3239005736137672</c:v>
                </c:pt>
                <c:pt idx="22">
                  <c:v>3.3239005736137672</c:v>
                </c:pt>
                <c:pt idx="23">
                  <c:v>3.3239005736137672</c:v>
                </c:pt>
                <c:pt idx="24">
                  <c:v>3.3239005736137672</c:v>
                </c:pt>
                <c:pt idx="25">
                  <c:v>3.3239005736137672</c:v>
                </c:pt>
                <c:pt idx="26">
                  <c:v>3.3239005736137672</c:v>
                </c:pt>
                <c:pt idx="27">
                  <c:v>3.3239005736137672</c:v>
                </c:pt>
                <c:pt idx="28">
                  <c:v>3.3239005736137672</c:v>
                </c:pt>
                <c:pt idx="29">
                  <c:v>3.3239005736137672</c:v>
                </c:pt>
                <c:pt idx="30">
                  <c:v>3.3239005736137672</c:v>
                </c:pt>
                <c:pt idx="31">
                  <c:v>3.3239005736137672</c:v>
                </c:pt>
                <c:pt idx="32">
                  <c:v>3.3239005736137672</c:v>
                </c:pt>
                <c:pt idx="33">
                  <c:v>3.3239005736137672</c:v>
                </c:pt>
                <c:pt idx="34">
                  <c:v>3.3239005736137672</c:v>
                </c:pt>
                <c:pt idx="35">
                  <c:v>3.2953471997084343</c:v>
                </c:pt>
                <c:pt idx="36">
                  <c:v>3.1386523756233209</c:v>
                </c:pt>
                <c:pt idx="37">
                  <c:v>2.9818348611381071</c:v>
                </c:pt>
                <c:pt idx="38">
                  <c:v>2.8251082383142423</c:v>
                </c:pt>
                <c:pt idx="39">
                  <c:v>2.6695647372159428</c:v>
                </c:pt>
                <c:pt idx="40">
                  <c:v>2.5140121325838152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Dropout!$AG$47</c:f>
              <c:strCache>
                <c:ptCount val="1"/>
                <c:pt idx="0">
                  <c:v>1.17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3.3239005736137672</c:v>
                </c:pt>
                <c:pt idx="1">
                  <c:v>3.3239005736137672</c:v>
                </c:pt>
                <c:pt idx="2">
                  <c:v>3.3239005736137672</c:v>
                </c:pt>
                <c:pt idx="3">
                  <c:v>3.3239005736137672</c:v>
                </c:pt>
                <c:pt idx="4">
                  <c:v>3.3239005736137672</c:v>
                </c:pt>
                <c:pt idx="5">
                  <c:v>3.3239005736137672</c:v>
                </c:pt>
                <c:pt idx="6">
                  <c:v>3.3239005736137672</c:v>
                </c:pt>
                <c:pt idx="7">
                  <c:v>3.3239005736137672</c:v>
                </c:pt>
                <c:pt idx="8">
                  <c:v>3.3239005736137672</c:v>
                </c:pt>
                <c:pt idx="9">
                  <c:v>3.3239005736137672</c:v>
                </c:pt>
                <c:pt idx="10">
                  <c:v>3.3239005736137672</c:v>
                </c:pt>
                <c:pt idx="11">
                  <c:v>3.3239005736137672</c:v>
                </c:pt>
                <c:pt idx="12">
                  <c:v>3.3239005736137672</c:v>
                </c:pt>
                <c:pt idx="13">
                  <c:v>3.3239005736137672</c:v>
                </c:pt>
                <c:pt idx="14">
                  <c:v>3.3239005736137672</c:v>
                </c:pt>
                <c:pt idx="15">
                  <c:v>3.3239005736137672</c:v>
                </c:pt>
                <c:pt idx="16">
                  <c:v>3.3239005736137672</c:v>
                </c:pt>
                <c:pt idx="17">
                  <c:v>3.3239005736137672</c:v>
                </c:pt>
                <c:pt idx="18">
                  <c:v>3.3239005736137672</c:v>
                </c:pt>
                <c:pt idx="19">
                  <c:v>3.3239005736137672</c:v>
                </c:pt>
                <c:pt idx="20">
                  <c:v>3.3239005736137672</c:v>
                </c:pt>
                <c:pt idx="21">
                  <c:v>3.3239005736137672</c:v>
                </c:pt>
                <c:pt idx="22">
                  <c:v>3.3239005736137672</c:v>
                </c:pt>
                <c:pt idx="23">
                  <c:v>3.3239005736137672</c:v>
                </c:pt>
                <c:pt idx="24">
                  <c:v>3.3239005736137672</c:v>
                </c:pt>
                <c:pt idx="25">
                  <c:v>3.3239005736137672</c:v>
                </c:pt>
                <c:pt idx="26">
                  <c:v>3.3239005736137672</c:v>
                </c:pt>
                <c:pt idx="27">
                  <c:v>3.3239005736137672</c:v>
                </c:pt>
                <c:pt idx="28">
                  <c:v>3.3239005736137672</c:v>
                </c:pt>
                <c:pt idx="29">
                  <c:v>3.3239005736137672</c:v>
                </c:pt>
                <c:pt idx="30">
                  <c:v>3.3239005736137672</c:v>
                </c:pt>
                <c:pt idx="31">
                  <c:v>3.3239005736137672</c:v>
                </c:pt>
                <c:pt idx="32">
                  <c:v>3.3239005736137672</c:v>
                </c:pt>
                <c:pt idx="33">
                  <c:v>3.3239005736137672</c:v>
                </c:pt>
                <c:pt idx="34">
                  <c:v>3.3239005736137672</c:v>
                </c:pt>
                <c:pt idx="35">
                  <c:v>3.3239005736137672</c:v>
                </c:pt>
                <c:pt idx="36">
                  <c:v>3.3004594901252906</c:v>
                </c:pt>
                <c:pt idx="37">
                  <c:v>3.1444821977445208</c:v>
                </c:pt>
                <c:pt idx="38">
                  <c:v>2.988477737149787</c:v>
                </c:pt>
                <c:pt idx="39">
                  <c:v>2.8324975440104923</c:v>
                </c:pt>
                <c:pt idx="40">
                  <c:v>2.67677729099836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axId val="201401088"/>
        <c:axId val="201403008"/>
      </c:scatterChart>
      <c:valAx>
        <c:axId val="201401088"/>
        <c:scaling>
          <c:orientation val="minMax"/>
          <c:max val="11.8"/>
          <c:min val="3.8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03008"/>
        <c:crosses val="autoZero"/>
        <c:crossBetween val="midCat"/>
        <c:majorUnit val="0.8"/>
        <c:minorUnit val="0.4"/>
      </c:valAx>
      <c:valAx>
        <c:axId val="201403008"/>
        <c:scaling>
          <c:orientation val="minMax"/>
          <c:max val="8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686E-2"/>
              <c:y val="0.307160412479821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010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0849"/>
          <c:y val="0.12028662735149762"/>
          <c:w val="0.15673431446069297"/>
          <c:h val="0.1957238713361667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509"/>
          <c:y val="2.1798365122615848E-2"/>
        </c:manualLayout>
      </c:layout>
    </c:title>
    <c:plotArea>
      <c:layout>
        <c:manualLayout>
          <c:layoutTarget val="inner"/>
          <c:xMode val="edge"/>
          <c:yMode val="edge"/>
          <c:x val="0.13811863517060374"/>
          <c:y val="0.12319251646677704"/>
          <c:w val="0.82715987168270744"/>
          <c:h val="0.72752930406860039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Eq val="1"/>
            <c:trendlineLbl>
              <c:layout>
                <c:manualLayout>
                  <c:x val="-0.14750072907553222"/>
                  <c:y val="4.9920020585230991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Constants!$B$44:$B$48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Constants!$C$44:$C$48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</c:ser>
        <c:axId val="201480832"/>
        <c:axId val="201487104"/>
      </c:scatterChart>
      <c:valAx>
        <c:axId val="201480832"/>
        <c:scaling>
          <c:orientation val="minMax"/>
          <c:max val="8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201487104"/>
        <c:crosses val="autoZero"/>
        <c:crossBetween val="midCat"/>
        <c:majorUnit val="1"/>
        <c:minorUnit val="1"/>
      </c:valAx>
      <c:valAx>
        <c:axId val="201487104"/>
        <c:scaling>
          <c:orientation val="minMax"/>
          <c:max val="10.5"/>
          <c:min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347"/>
            </c:manualLayout>
          </c:layout>
        </c:title>
        <c:numFmt formatCode="0.0" sourceLinked="0"/>
        <c:tickLblPos val="nextTo"/>
        <c:crossAx val="201480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5528"/>
          <c:y val="0.14972044025831921"/>
          <c:w val="0.2491294117647059"/>
          <c:h val="0.1240132066287117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428623</xdr:colOff>
      <xdr:row>70</xdr:row>
      <xdr:rowOff>57150</xdr:rowOff>
    </xdr:from>
    <xdr:to>
      <xdr:col>8</xdr:col>
      <xdr:colOff>76200</xdr:colOff>
      <xdr:row>87</xdr:row>
      <xdr:rowOff>136521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3" y="15106650"/>
          <a:ext cx="6886577" cy="331787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9</xdr:col>
      <xdr:colOff>19051</xdr:colOff>
      <xdr:row>9</xdr:row>
      <xdr:rowOff>38100</xdr:rowOff>
    </xdr:from>
    <xdr:to>
      <xdr:col>14</xdr:col>
      <xdr:colOff>590551</xdr:colOff>
      <xdr:row>21</xdr:row>
      <xdr:rowOff>200945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67651" y="2152650"/>
          <a:ext cx="3657600" cy="29631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2</xdr:row>
      <xdr:rowOff>228601</xdr:rowOff>
    </xdr:from>
    <xdr:to>
      <xdr:col>15</xdr:col>
      <xdr:colOff>28575</xdr:colOff>
      <xdr:row>15</xdr:row>
      <xdr:rowOff>6645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809626"/>
          <a:ext cx="3657600" cy="29498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32</xdr:row>
      <xdr:rowOff>76200</xdr:rowOff>
    </xdr:from>
    <xdr:to>
      <xdr:col>14</xdr:col>
      <xdr:colOff>219075</xdr:colOff>
      <xdr:row>56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56</xdr:row>
      <xdr:rowOff>133350</xdr:rowOff>
    </xdr:from>
    <xdr:to>
      <xdr:col>14</xdr:col>
      <xdr:colOff>219075</xdr:colOff>
      <xdr:row>80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32</xdr:row>
      <xdr:rowOff>80963</xdr:rowOff>
    </xdr:from>
    <xdr:to>
      <xdr:col>28</xdr:col>
      <xdr:colOff>419100</xdr:colOff>
      <xdr:row>56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56</xdr:row>
      <xdr:rowOff>142875</xdr:rowOff>
    </xdr:from>
    <xdr:to>
      <xdr:col>28</xdr:col>
      <xdr:colOff>419100</xdr:colOff>
      <xdr:row>80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32</xdr:row>
      <xdr:rowOff>85725</xdr:rowOff>
    </xdr:from>
    <xdr:to>
      <xdr:col>43</xdr:col>
      <xdr:colOff>171450</xdr:colOff>
      <xdr:row>56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56</xdr:row>
      <xdr:rowOff>152400</xdr:rowOff>
    </xdr:from>
    <xdr:to>
      <xdr:col>43</xdr:col>
      <xdr:colOff>171450</xdr:colOff>
      <xdr:row>80</xdr:row>
      <xdr:rowOff>133350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41</xdr:row>
      <xdr:rowOff>161925</xdr:rowOff>
    </xdr:from>
    <xdr:to>
      <xdr:col>16</xdr:col>
      <xdr:colOff>133350</xdr:colOff>
      <xdr:row>59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24</xdr:row>
      <xdr:rowOff>66675</xdr:rowOff>
    </xdr:from>
    <xdr:to>
      <xdr:col>16</xdr:col>
      <xdr:colOff>142875</xdr:colOff>
      <xdr:row>41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333375</xdr:colOff>
      <xdr:row>0</xdr:row>
      <xdr:rowOff>85725</xdr:rowOff>
    </xdr:from>
    <xdr:to>
      <xdr:col>19</xdr:col>
      <xdr:colOff>485775</xdr:colOff>
      <xdr:row>12</xdr:row>
      <xdr:rowOff>9525</xdr:rowOff>
    </xdr:to>
    <xdr:pic>
      <xdr:nvPicPr>
        <xdr:cNvPr id="6" name="Picture 5" descr="A8583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77475" y="85725"/>
          <a:ext cx="3200400" cy="240030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85725</xdr:rowOff>
    </xdr:from>
    <xdr:to>
      <xdr:col>14</xdr:col>
      <xdr:colOff>285750</xdr:colOff>
      <xdr:row>12</xdr:row>
      <xdr:rowOff>9525</xdr:rowOff>
    </xdr:to>
    <xdr:pic>
      <xdr:nvPicPr>
        <xdr:cNvPr id="7" name="Picture 6" descr="A8583X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29450" y="85725"/>
          <a:ext cx="3200400" cy="24003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12</xdr:row>
      <xdr:rowOff>161926</xdr:rowOff>
    </xdr:from>
    <xdr:to>
      <xdr:col>14</xdr:col>
      <xdr:colOff>257175</xdr:colOff>
      <xdr:row>23</xdr:row>
      <xdr:rowOff>140399</xdr:rowOff>
    </xdr:to>
    <xdr:pic>
      <xdr:nvPicPr>
        <xdr:cNvPr id="8" name="Picture 7" descr="83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00875" y="2638426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</xdr:colOff>
      <xdr:row>12</xdr:row>
      <xdr:rowOff>171451</xdr:rowOff>
    </xdr:from>
    <xdr:to>
      <xdr:col>19</xdr:col>
      <xdr:colOff>514350</xdr:colOff>
      <xdr:row>23</xdr:row>
      <xdr:rowOff>149924</xdr:rowOff>
    </xdr:to>
    <xdr:pic>
      <xdr:nvPicPr>
        <xdr:cNvPr id="9" name="Picture 8" descr="83_1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306050" y="2647951"/>
          <a:ext cx="3200400" cy="2188273"/>
        </a:xfrm>
        <a:prstGeom prst="rect">
          <a:avLst/>
        </a:prstGeom>
      </xdr:spPr>
    </xdr:pic>
    <xdr:clientData/>
  </xdr:twoCellAnchor>
  <xdr:twoCellAnchor>
    <xdr:from>
      <xdr:col>9</xdr:col>
      <xdr:colOff>228600</xdr:colOff>
      <xdr:row>0</xdr:row>
      <xdr:rowOff>266701</xdr:rowOff>
    </xdr:from>
    <xdr:to>
      <xdr:col>14</xdr:col>
      <xdr:colOff>180975</xdr:colOff>
      <xdr:row>2</xdr:row>
      <xdr:rowOff>1</xdr:rowOff>
    </xdr:to>
    <xdr:sp macro="" textlink="">
      <xdr:nvSpPr>
        <xdr:cNvPr id="10" name="TextBox 9"/>
        <xdr:cNvSpPr txBox="1"/>
      </xdr:nvSpPr>
      <xdr:spPr>
        <a:xfrm>
          <a:off x="7124700" y="266701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LX Rising</a:t>
          </a:r>
          <a:r>
            <a:rPr lang="en-US" sz="1200" b="1" baseline="0"/>
            <a:t> Slew Rate</a:t>
          </a:r>
          <a:endParaRPr lang="en-US" sz="1200" b="1"/>
        </a:p>
      </xdr:txBody>
    </xdr:sp>
    <xdr:clientData/>
  </xdr:twoCellAnchor>
  <xdr:twoCellAnchor>
    <xdr:from>
      <xdr:col>14</xdr:col>
      <xdr:colOff>438150</xdr:colOff>
      <xdr:row>0</xdr:row>
      <xdr:rowOff>276225</xdr:rowOff>
    </xdr:from>
    <xdr:to>
      <xdr:col>19</xdr:col>
      <xdr:colOff>390525</xdr:colOff>
      <xdr:row>2</xdr:row>
      <xdr:rowOff>9525</xdr:rowOff>
    </xdr:to>
    <xdr:sp macro="" textlink="">
      <xdr:nvSpPr>
        <xdr:cNvPr id="12" name="TextBox 11"/>
        <xdr:cNvSpPr txBox="1"/>
      </xdr:nvSpPr>
      <xdr:spPr>
        <a:xfrm>
          <a:off x="10382250" y="276225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LX Falling</a:t>
          </a:r>
          <a:r>
            <a:rPr lang="en-US" sz="1200" b="1" baseline="0"/>
            <a:t> Slew Rate</a:t>
          </a:r>
          <a:endParaRPr lang="en-US" sz="1200" b="1"/>
        </a:p>
      </xdr:txBody>
    </xdr:sp>
    <xdr:clientData/>
  </xdr:twoCellAnchor>
  <xdr:twoCellAnchor>
    <xdr:from>
      <xdr:col>9</xdr:col>
      <xdr:colOff>247650</xdr:colOff>
      <xdr:row>16</xdr:row>
      <xdr:rowOff>47625</xdr:rowOff>
    </xdr:from>
    <xdr:to>
      <xdr:col>14</xdr:col>
      <xdr:colOff>200025</xdr:colOff>
      <xdr:row>17</xdr:row>
      <xdr:rowOff>85725</xdr:rowOff>
    </xdr:to>
    <xdr:sp macro="" textlink="">
      <xdr:nvSpPr>
        <xdr:cNvPr id="13" name="TextBox 12"/>
        <xdr:cNvSpPr txBox="1"/>
      </xdr:nvSpPr>
      <xdr:spPr>
        <a:xfrm>
          <a:off x="7143750" y="3324225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1.65A</a:t>
          </a:r>
          <a:r>
            <a:rPr lang="en-US" sz="1200" b="1" baseline="0"/>
            <a:t> Transient with 2x 10uF</a:t>
          </a:r>
          <a:endParaRPr lang="en-US" sz="1200" b="1"/>
        </a:p>
      </xdr:txBody>
    </xdr:sp>
    <xdr:clientData/>
  </xdr:twoCellAnchor>
  <xdr:twoCellAnchor>
    <xdr:from>
      <xdr:col>14</xdr:col>
      <xdr:colOff>457200</xdr:colOff>
      <xdr:row>16</xdr:row>
      <xdr:rowOff>57151</xdr:rowOff>
    </xdr:from>
    <xdr:to>
      <xdr:col>19</xdr:col>
      <xdr:colOff>409575</xdr:colOff>
      <xdr:row>17</xdr:row>
      <xdr:rowOff>95251</xdr:rowOff>
    </xdr:to>
    <xdr:sp macro="" textlink="">
      <xdr:nvSpPr>
        <xdr:cNvPr id="14" name="TextBox 13"/>
        <xdr:cNvSpPr txBox="1"/>
      </xdr:nvSpPr>
      <xdr:spPr>
        <a:xfrm>
          <a:off x="10401300" y="3333751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1.65A</a:t>
          </a:r>
          <a:r>
            <a:rPr lang="en-US" sz="1200" b="1" baseline="0"/>
            <a:t> Transient with 2x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1"/>
  <sheetViews>
    <sheetView tabSelected="1" workbookViewId="0">
      <selection sqref="A1:I1"/>
    </sheetView>
  </sheetViews>
  <sheetFormatPr defaultRowHeight="15"/>
  <cols>
    <col min="1" max="1" width="20.7109375" style="4" customWidth="1"/>
    <col min="2" max="4" width="12.7109375" style="6" customWidth="1"/>
    <col min="5" max="5" width="15.7109375" style="5" customWidth="1"/>
    <col min="6" max="6" width="15.7109375" style="6" customWidth="1"/>
    <col min="7" max="8" width="9.140625" style="6"/>
    <col min="9" max="10" width="9.140625" style="6" customWidth="1"/>
    <col min="11" max="11" width="9.140625" style="6"/>
    <col min="12" max="12" width="9.7109375" style="6" bestFit="1" customWidth="1"/>
    <col min="13" max="16" width="9.140625" style="6"/>
  </cols>
  <sheetData>
    <row r="1" spans="1:16" ht="24" customHeight="1" thickBot="1">
      <c r="A1" s="336" t="s">
        <v>316</v>
      </c>
      <c r="B1" s="337"/>
      <c r="C1" s="337"/>
      <c r="D1" s="337"/>
      <c r="E1" s="337"/>
      <c r="F1" s="337"/>
      <c r="G1" s="337"/>
      <c r="H1" s="337"/>
      <c r="I1" s="338"/>
    </row>
    <row r="2" spans="1:16" ht="24" customHeight="1" thickBot="1">
      <c r="A2" s="360" t="s">
        <v>177</v>
      </c>
      <c r="B2" s="361"/>
      <c r="C2" s="361"/>
      <c r="D2" s="361"/>
      <c r="E2" s="361"/>
      <c r="F2" s="361"/>
      <c r="G2" s="361"/>
      <c r="H2" s="361"/>
      <c r="I2" s="362"/>
    </row>
    <row r="3" spans="1:16" s="2" customFormat="1" ht="18" customHeight="1" thickBot="1">
      <c r="A3" s="115" t="s">
        <v>146</v>
      </c>
      <c r="B3" s="62" t="s">
        <v>33</v>
      </c>
      <c r="C3" s="62" t="s">
        <v>34</v>
      </c>
      <c r="D3" s="62" t="s">
        <v>35</v>
      </c>
      <c r="E3" s="63" t="s">
        <v>36</v>
      </c>
      <c r="F3" s="365" t="s">
        <v>38</v>
      </c>
      <c r="G3" s="366"/>
      <c r="H3" s="366"/>
      <c r="I3" s="367"/>
      <c r="J3" s="3"/>
      <c r="K3" s="3"/>
      <c r="L3" s="3"/>
      <c r="M3" s="3"/>
      <c r="N3" s="3"/>
      <c r="O3" s="3"/>
      <c r="P3" s="3"/>
    </row>
    <row r="4" spans="1:16" ht="15.75" thickBot="1">
      <c r="A4" s="64" t="s">
        <v>117</v>
      </c>
      <c r="B4" s="24">
        <v>8</v>
      </c>
      <c r="C4" s="24">
        <v>12</v>
      </c>
      <c r="D4" s="24">
        <v>16</v>
      </c>
      <c r="E4" s="25" t="s">
        <v>2</v>
      </c>
      <c r="F4" s="368" t="str">
        <f>IF(B4&lt;Constants!D7,"Vin_min is lower than UVLO Stop_max","Steady-state input operating voltages")</f>
        <v>Steady-state input operating voltages</v>
      </c>
      <c r="G4" s="369"/>
      <c r="H4" s="369"/>
      <c r="I4" s="370"/>
    </row>
    <row r="5" spans="1:16" ht="15.75" thickBot="1">
      <c r="A5" s="65" t="s">
        <v>53</v>
      </c>
      <c r="B5" s="256" t="s">
        <v>24</v>
      </c>
      <c r="C5" s="260">
        <v>3.3</v>
      </c>
      <c r="D5" s="29" t="s">
        <v>24</v>
      </c>
      <c r="E5" s="13" t="s">
        <v>2</v>
      </c>
      <c r="F5" s="371" t="s">
        <v>98</v>
      </c>
      <c r="G5" s="372"/>
      <c r="H5" s="372"/>
      <c r="I5" s="373"/>
    </row>
    <row r="6" spans="1:16" ht="18.75" thickBot="1">
      <c r="A6" s="65" t="s">
        <v>78</v>
      </c>
      <c r="B6" s="257" t="s">
        <v>24</v>
      </c>
      <c r="C6" s="259" t="s">
        <v>24</v>
      </c>
      <c r="D6" s="258">
        <v>3.5</v>
      </c>
      <c r="E6" s="25" t="s">
        <v>71</v>
      </c>
      <c r="F6" s="371" t="s">
        <v>99</v>
      </c>
      <c r="G6" s="372"/>
      <c r="H6" s="372"/>
      <c r="I6" s="373"/>
    </row>
    <row r="7" spans="1:16" ht="18.75" thickBot="1">
      <c r="A7" s="82" t="s">
        <v>48</v>
      </c>
      <c r="B7" s="83" t="s">
        <v>24</v>
      </c>
      <c r="C7" s="84">
        <v>25</v>
      </c>
      <c r="D7" s="85" t="s">
        <v>24</v>
      </c>
      <c r="E7" s="86" t="s">
        <v>79</v>
      </c>
      <c r="F7" s="381" t="s">
        <v>52</v>
      </c>
      <c r="G7" s="379"/>
      <c r="H7" s="379"/>
      <c r="I7" s="380"/>
    </row>
    <row r="8" spans="1:16" ht="15.75" thickBot="1">
      <c r="A8" s="65" t="s">
        <v>149</v>
      </c>
      <c r="B8" s="14" t="s">
        <v>24</v>
      </c>
      <c r="C8" s="26" t="s">
        <v>24</v>
      </c>
      <c r="D8" s="28">
        <v>1.6</v>
      </c>
      <c r="E8" s="25" t="s">
        <v>26</v>
      </c>
      <c r="F8" s="371" t="s">
        <v>171</v>
      </c>
      <c r="G8" s="372"/>
      <c r="H8" s="372"/>
      <c r="I8" s="373"/>
    </row>
    <row r="9" spans="1:16" ht="15.75" thickBot="1">
      <c r="A9" s="65" t="s">
        <v>148</v>
      </c>
      <c r="B9" s="31" t="s">
        <v>24</v>
      </c>
      <c r="C9" s="30" t="s">
        <v>24</v>
      </c>
      <c r="D9" s="28">
        <v>1.6</v>
      </c>
      <c r="E9" s="25" t="s">
        <v>26</v>
      </c>
      <c r="F9" s="371" t="s">
        <v>171</v>
      </c>
      <c r="G9" s="372"/>
      <c r="H9" s="372"/>
      <c r="I9" s="373"/>
    </row>
    <row r="10" spans="1:16" ht="15.75" thickBot="1">
      <c r="A10" s="64" t="s">
        <v>147</v>
      </c>
      <c r="B10" s="28">
        <v>-20</v>
      </c>
      <c r="C10" s="32" t="s">
        <v>24</v>
      </c>
      <c r="D10" s="28">
        <v>20</v>
      </c>
      <c r="E10" s="25" t="s">
        <v>26</v>
      </c>
      <c r="F10" s="371" t="s">
        <v>62</v>
      </c>
      <c r="G10" s="372"/>
      <c r="H10" s="372"/>
      <c r="I10" s="373"/>
    </row>
    <row r="11" spans="1:16" ht="15.75" thickBot="1">
      <c r="A11" s="66" t="s">
        <v>74</v>
      </c>
      <c r="B11" s="27" t="s">
        <v>24</v>
      </c>
      <c r="C11" s="57">
        <v>0.75</v>
      </c>
      <c r="D11" s="29" t="s">
        <v>24</v>
      </c>
      <c r="E11" s="58" t="s">
        <v>39</v>
      </c>
      <c r="F11" s="342" t="s">
        <v>70</v>
      </c>
      <c r="G11" s="343"/>
      <c r="H11" s="343"/>
      <c r="I11" s="344"/>
    </row>
    <row r="12" spans="1:16" ht="18.75" thickBot="1">
      <c r="A12" s="59" t="s">
        <v>158</v>
      </c>
      <c r="B12" s="60" t="s">
        <v>24</v>
      </c>
      <c r="C12" s="56">
        <v>34</v>
      </c>
      <c r="D12" s="76" t="s">
        <v>24</v>
      </c>
      <c r="E12" s="61" t="s">
        <v>25</v>
      </c>
      <c r="F12" s="354" t="s">
        <v>278</v>
      </c>
      <c r="G12" s="355"/>
      <c r="H12" s="355"/>
      <c r="I12" s="356"/>
    </row>
    <row r="13" spans="1:16" ht="18.75" thickBot="1">
      <c r="A13" s="77" t="s">
        <v>112</v>
      </c>
      <c r="B13" s="78" t="s">
        <v>24</v>
      </c>
      <c r="C13" s="79" t="s">
        <v>24</v>
      </c>
      <c r="D13" s="80">
        <v>85</v>
      </c>
      <c r="E13" s="81" t="s">
        <v>111</v>
      </c>
      <c r="F13" s="345" t="s">
        <v>181</v>
      </c>
      <c r="G13" s="346"/>
      <c r="H13" s="346"/>
      <c r="I13" s="347"/>
    </row>
    <row r="14" spans="1:16" ht="18" customHeight="1" thickBot="1">
      <c r="A14" s="375" t="s">
        <v>271</v>
      </c>
      <c r="B14" s="376"/>
      <c r="C14" s="377"/>
      <c r="D14" s="284" t="s">
        <v>36</v>
      </c>
      <c r="E14" s="376" t="s">
        <v>38</v>
      </c>
      <c r="F14" s="376"/>
      <c r="G14" s="376"/>
      <c r="H14" s="376"/>
      <c r="I14" s="378"/>
    </row>
    <row r="15" spans="1:16" ht="16.5" thickBot="1">
      <c r="A15" s="318" t="s">
        <v>262</v>
      </c>
      <c r="B15" s="279">
        <v>0.2</v>
      </c>
      <c r="C15" s="280">
        <v>0.32</v>
      </c>
      <c r="D15" s="281" t="s">
        <v>259</v>
      </c>
      <c r="E15" s="382" t="s">
        <v>280</v>
      </c>
      <c r="F15" s="383"/>
      <c r="G15" s="383"/>
      <c r="H15" s="383"/>
      <c r="I15" s="384"/>
      <c r="M15" s="311"/>
    </row>
    <row r="16" spans="1:16" ht="15.75" thickBot="1">
      <c r="A16" s="178" t="s">
        <v>263</v>
      </c>
      <c r="B16" s="279">
        <v>2</v>
      </c>
      <c r="C16" s="280">
        <v>0.46</v>
      </c>
      <c r="D16" s="282" t="s">
        <v>259</v>
      </c>
      <c r="E16" s="381" t="s">
        <v>281</v>
      </c>
      <c r="F16" s="379"/>
      <c r="G16" s="379"/>
      <c r="H16" s="379"/>
      <c r="I16" s="380"/>
    </row>
    <row r="17" spans="1:16" ht="16.5" thickBot="1">
      <c r="A17" s="178" t="s">
        <v>264</v>
      </c>
      <c r="B17" s="279">
        <v>4</v>
      </c>
      <c r="C17" s="280">
        <v>0.51</v>
      </c>
      <c r="D17" s="282" t="s">
        <v>259</v>
      </c>
      <c r="E17" s="381" t="s">
        <v>282</v>
      </c>
      <c r="F17" s="379"/>
      <c r="G17" s="379"/>
      <c r="H17" s="379"/>
      <c r="I17" s="380"/>
      <c r="K17" s="309"/>
      <c r="L17" s="310"/>
      <c r="M17" s="310"/>
      <c r="N17" s="310"/>
      <c r="O17" s="310"/>
      <c r="P17" s="310"/>
    </row>
    <row r="18" spans="1:16" ht="16.5" thickBot="1">
      <c r="A18" s="178" t="s">
        <v>308</v>
      </c>
      <c r="B18" s="363">
        <v>-1</v>
      </c>
      <c r="C18" s="364"/>
      <c r="D18" s="282" t="s">
        <v>260</v>
      </c>
      <c r="E18" s="379" t="s">
        <v>307</v>
      </c>
      <c r="F18" s="379"/>
      <c r="G18" s="379"/>
      <c r="H18" s="379"/>
      <c r="I18" s="380"/>
      <c r="K18" s="324"/>
      <c r="L18" s="310"/>
      <c r="M18" s="310"/>
      <c r="N18" s="310"/>
      <c r="O18" s="310"/>
      <c r="P18" s="310"/>
    </row>
    <row r="19" spans="1:16" ht="18.75" thickBot="1">
      <c r="A19" s="327" t="s">
        <v>309</v>
      </c>
      <c r="B19" s="385">
        <v>57</v>
      </c>
      <c r="C19" s="386"/>
      <c r="D19" s="61" t="s">
        <v>25</v>
      </c>
      <c r="E19" s="323" t="s">
        <v>310</v>
      </c>
      <c r="F19" s="325"/>
      <c r="G19" s="325"/>
      <c r="H19" s="325"/>
      <c r="I19" s="326"/>
    </row>
    <row r="20" spans="1:16" ht="32.1" customHeight="1" thickBot="1">
      <c r="A20" s="357" t="s">
        <v>207</v>
      </c>
      <c r="B20" s="358"/>
      <c r="C20" s="358"/>
      <c r="D20" s="358"/>
      <c r="E20" s="358"/>
      <c r="F20" s="358"/>
      <c r="G20" s="358"/>
      <c r="H20" s="358"/>
      <c r="I20" s="359"/>
    </row>
    <row r="21" spans="1:16" s="2" customFormat="1" ht="18" customHeight="1">
      <c r="A21" s="175" t="s">
        <v>32</v>
      </c>
      <c r="B21" s="308" t="s">
        <v>31</v>
      </c>
      <c r="C21" s="308" t="s">
        <v>36</v>
      </c>
      <c r="D21" s="351" t="s">
        <v>38</v>
      </c>
      <c r="E21" s="352"/>
      <c r="F21" s="352"/>
      <c r="G21" s="352"/>
      <c r="H21" s="352"/>
      <c r="I21" s="353"/>
      <c r="J21" s="3"/>
      <c r="K21" s="3"/>
      <c r="L21" s="3"/>
      <c r="M21" s="3"/>
      <c r="N21" s="3"/>
      <c r="O21" s="3"/>
      <c r="P21" s="3"/>
    </row>
    <row r="22" spans="1:16" s="2" customFormat="1" ht="18" customHeight="1">
      <c r="A22" s="348" t="s">
        <v>291</v>
      </c>
      <c r="B22" s="349"/>
      <c r="C22" s="349"/>
      <c r="D22" s="349"/>
      <c r="E22" s="349"/>
      <c r="F22" s="349"/>
      <c r="G22" s="349"/>
      <c r="H22" s="349"/>
      <c r="I22" s="350"/>
      <c r="J22" s="3"/>
      <c r="K22" s="3"/>
      <c r="L22" s="3"/>
      <c r="M22" s="3"/>
      <c r="N22" s="3"/>
      <c r="O22" s="3"/>
      <c r="P22" s="3"/>
    </row>
    <row r="23" spans="1:16" ht="15.75" thickBot="1">
      <c r="A23" s="67" t="s">
        <v>54</v>
      </c>
      <c r="B23" s="17">
        <f>Constants!C5*1000*Design!C5/Constants!C3/1000</f>
        <v>16.5</v>
      </c>
      <c r="C23" s="16" t="s">
        <v>69</v>
      </c>
      <c r="D23" s="21" t="s">
        <v>94</v>
      </c>
      <c r="E23" s="16"/>
      <c r="F23" s="18"/>
      <c r="G23" s="18"/>
      <c r="H23" s="18"/>
      <c r="I23" s="68"/>
      <c r="K23" s="312" t="s">
        <v>311</v>
      </c>
    </row>
    <row r="24" spans="1:16" ht="15.75" thickBot="1">
      <c r="A24" s="126" t="s">
        <v>56</v>
      </c>
      <c r="B24" s="129">
        <v>16.5</v>
      </c>
      <c r="C24" s="128" t="s">
        <v>208</v>
      </c>
      <c r="D24" s="21" t="s">
        <v>102</v>
      </c>
      <c r="E24" s="16"/>
      <c r="F24" s="18"/>
      <c r="G24" s="18"/>
      <c r="H24" s="18"/>
      <c r="I24" s="68"/>
    </row>
    <row r="25" spans="1:16" ht="15.75" thickBot="1">
      <c r="A25" s="67" t="s">
        <v>55</v>
      </c>
      <c r="B25" s="17">
        <f>1000/((1/Constants!C5*1000)-(1/Design!B23*1000))</f>
        <v>5.28</v>
      </c>
      <c r="C25" s="16" t="s">
        <v>69</v>
      </c>
      <c r="D25" s="21" t="s">
        <v>95</v>
      </c>
      <c r="E25" s="16"/>
      <c r="F25" s="18"/>
      <c r="G25" s="18"/>
      <c r="H25" s="18"/>
      <c r="I25" s="68"/>
    </row>
    <row r="26" spans="1:16" ht="15.75" thickBot="1">
      <c r="A26" s="130" t="s">
        <v>57</v>
      </c>
      <c r="B26" s="129">
        <v>5.23</v>
      </c>
      <c r="C26" s="131" t="s">
        <v>208</v>
      </c>
      <c r="D26" s="107" t="s">
        <v>102</v>
      </c>
      <c r="E26" s="72"/>
      <c r="F26" s="74"/>
      <c r="G26" s="74"/>
      <c r="H26" s="74"/>
      <c r="I26" s="75"/>
    </row>
    <row r="27" spans="1:16" ht="15.75">
      <c r="A27" s="339" t="s">
        <v>194</v>
      </c>
      <c r="B27" s="340"/>
      <c r="C27" s="340"/>
      <c r="D27" s="340"/>
      <c r="E27" s="340"/>
      <c r="F27" s="340"/>
      <c r="G27" s="340"/>
      <c r="H27" s="340"/>
      <c r="I27" s="341"/>
    </row>
    <row r="28" spans="1:16" ht="15.75">
      <c r="A28" s="67" t="s">
        <v>169</v>
      </c>
      <c r="B28" s="307">
        <f>Constants!B3*(1+(1-D8/100)*IF(ISBLANK(B24),B23,B24)/((1+D9/100)*IF(ISBLANK(B26),B25,B26)))</f>
        <v>3.195741527528944</v>
      </c>
      <c r="C28" s="307">
        <f>Constants!C3*(1+IF(ISBLANK(B24),B23,B24)/IF(ISBLANK(B26),B25,B26))</f>
        <v>3.3239005736137672</v>
      </c>
      <c r="D28" s="307">
        <f>Constants!D3*(1+(1+D8/100)*IF(ISBLANK(B24),B23,B24)/((1-D9/100)*IF(ISBLANK(B26),B25,B26)))</f>
        <v>3.4570683206640869</v>
      </c>
      <c r="E28" s="21" t="s">
        <v>168</v>
      </c>
      <c r="F28" s="18"/>
      <c r="G28" s="18"/>
      <c r="H28" s="18"/>
      <c r="I28" s="68"/>
    </row>
    <row r="29" spans="1:16" ht="15.75" thickBot="1">
      <c r="A29" s="67" t="s">
        <v>269</v>
      </c>
      <c r="B29" s="19">
        <f ca="1">MIN(Efficiency!AR4:AR17,Efficiency!AR19:AR32)</f>
        <v>22.125008172768506</v>
      </c>
      <c r="C29" s="19">
        <f ca="1">AVERAGE(Efficiency!X4:X17,Efficiency!X19:X32)</f>
        <v>30.764648592960349</v>
      </c>
      <c r="D29" s="19">
        <f ca="1">MAX(Efficiency!D4:D17,Efficiency!D19:D32)</f>
        <v>48.126087743413258</v>
      </c>
      <c r="E29" s="21" t="s">
        <v>270</v>
      </c>
      <c r="F29" s="250"/>
      <c r="G29" s="18"/>
      <c r="H29" s="18"/>
      <c r="I29" s="68"/>
    </row>
    <row r="30" spans="1:16" ht="15.75" customHeight="1">
      <c r="A30" s="339" t="s">
        <v>150</v>
      </c>
      <c r="B30" s="340"/>
      <c r="C30" s="340"/>
      <c r="D30" s="340"/>
      <c r="E30" s="340"/>
      <c r="F30" s="340"/>
      <c r="G30" s="340"/>
      <c r="H30" s="340"/>
      <c r="I30" s="341"/>
      <c r="L30" s="5"/>
    </row>
    <row r="31" spans="1:16" ht="15.75" customHeight="1" thickBot="1">
      <c r="A31" s="67" t="s">
        <v>44</v>
      </c>
      <c r="B31" s="122">
        <f ca="1">MIN($B$29/100/Constants!D$16/0.000000001/1000000, Constants!D14)</f>
        <v>2.4</v>
      </c>
      <c r="C31" s="16" t="s">
        <v>17</v>
      </c>
      <c r="D31" s="22" t="s">
        <v>220</v>
      </c>
      <c r="E31" s="16"/>
      <c r="F31" s="18"/>
      <c r="G31" s="18"/>
      <c r="H31" s="18"/>
      <c r="I31" s="68"/>
    </row>
    <row r="32" spans="1:16" ht="15.75" thickBot="1">
      <c r="A32" s="67" t="s">
        <v>42</v>
      </c>
      <c r="B32" s="121">
        <v>2</v>
      </c>
      <c r="C32" s="16" t="s">
        <v>17</v>
      </c>
      <c r="D32" s="112" t="s">
        <v>218</v>
      </c>
      <c r="E32" s="174" t="str">
        <f ca="1">IF(D29&gt;B35," See the DROPOUT tab for operation approaching Vin_min "," ")</f>
        <v xml:space="preserve"> </v>
      </c>
      <c r="F32" s="153"/>
      <c r="G32" s="154"/>
      <c r="H32" s="145"/>
      <c r="I32" s="68"/>
      <c r="M32" s="5"/>
      <c r="N32" s="144"/>
    </row>
    <row r="33" spans="1:14" ht="18">
      <c r="A33" s="126" t="s">
        <v>209</v>
      </c>
      <c r="B33" s="127">
        <f>(26730/IF(ISBLANK(B32),1000*B31,1000*B32)-1.8)</f>
        <v>11.565</v>
      </c>
      <c r="C33" s="128" t="s">
        <v>208</v>
      </c>
      <c r="D33" s="22" t="s">
        <v>90</v>
      </c>
      <c r="E33" s="16"/>
      <c r="F33" s="18"/>
      <c r="G33" s="18"/>
      <c r="H33" s="18"/>
      <c r="I33" s="68"/>
      <c r="L33" s="5"/>
    </row>
    <row r="34" spans="1:14" ht="18">
      <c r="A34" s="67" t="s">
        <v>268</v>
      </c>
      <c r="B34" s="140">
        <f>100*IF(ISBLANK(B32),B31,B32)*1000000*Constants!C16/1000000000</f>
        <v>13</v>
      </c>
      <c r="C34" s="140">
        <f>100*IF(ISBLANK(B32),B31,B32)*1000000*Constants!D16/1000000000</f>
        <v>18</v>
      </c>
      <c r="D34" s="21" t="s">
        <v>312</v>
      </c>
      <c r="E34" s="252"/>
      <c r="F34" s="18"/>
      <c r="G34" s="18"/>
      <c r="H34" s="18"/>
      <c r="I34" s="68"/>
      <c r="K34" s="143"/>
      <c r="L34" s="5"/>
      <c r="M34" s="5"/>
      <c r="N34" s="144"/>
    </row>
    <row r="35" spans="1:14" ht="18">
      <c r="A35" s="67" t="s">
        <v>267</v>
      </c>
      <c r="B35" s="253">
        <f>100*(1-IF(ISBLANK(B32),B31,B32)*1000000*Constants!D17/1000000000)</f>
        <v>76</v>
      </c>
      <c r="C35" s="254">
        <f>100*(1-IF(ISBLANK(B32),B31,B32)*1000000*Constants!C17/1000000000)</f>
        <v>87</v>
      </c>
      <c r="D35" s="21" t="s">
        <v>313</v>
      </c>
      <c r="E35" s="252"/>
      <c r="F35" s="251"/>
      <c r="G35" s="251"/>
      <c r="H35" s="251"/>
      <c r="I35" s="68"/>
      <c r="K35" s="143"/>
      <c r="L35" s="5"/>
      <c r="M35" s="5"/>
      <c r="N35" s="144"/>
    </row>
    <row r="36" spans="1:14" ht="18.75" thickBot="1">
      <c r="A36" s="70" t="s">
        <v>222</v>
      </c>
      <c r="B36" s="122">
        <f ca="1">MIN(1.5*B31, 1.5*IF(ISBLANK(B32),B31,B32), C29/100/(Constants!C16/1000000000)/1000000)</f>
        <v>3</v>
      </c>
      <c r="C36" s="72" t="s">
        <v>17</v>
      </c>
      <c r="D36" s="107" t="s">
        <v>289</v>
      </c>
      <c r="E36" s="72"/>
      <c r="F36" s="74"/>
      <c r="G36" s="74"/>
      <c r="H36" s="74"/>
      <c r="I36" s="75"/>
    </row>
    <row r="37" spans="1:14" ht="15.75" customHeight="1">
      <c r="A37" s="339" t="s">
        <v>156</v>
      </c>
      <c r="B37" s="340"/>
      <c r="C37" s="340"/>
      <c r="D37" s="340"/>
      <c r="E37" s="340"/>
      <c r="F37" s="340"/>
      <c r="G37" s="340"/>
      <c r="H37" s="340"/>
      <c r="I37" s="341"/>
      <c r="K37" s="143"/>
      <c r="L37" s="5"/>
      <c r="M37" s="5"/>
      <c r="N37" s="144"/>
    </row>
    <row r="38" spans="1:14" ht="15.75" thickBot="1">
      <c r="A38" s="67" t="s">
        <v>189</v>
      </c>
      <c r="B38" s="17">
        <f ca="1">MAX(1000000*(1+Constants!D4/100)*C5/((1+Constants!B15/100)*IF(ISBLANK(B32),B31,B32)*1000000)*(1-(1+Constants!D4/100)*C5/C4),1000000*0.77*(((1+Constants!D4/100)*C5+MAX(Efficiency!C4:C17))/((1+Constants!B15/100)*IF(ISBLANK(B32),B31,B32)*1000000)*(1-0.18/(D29/100))))/(1+B10/100)</f>
        <v>1.6767852864583332</v>
      </c>
      <c r="C38" s="16" t="s">
        <v>75</v>
      </c>
      <c r="D38" s="22" t="s">
        <v>190</v>
      </c>
      <c r="E38" s="16"/>
      <c r="F38" s="18"/>
      <c r="G38" s="18"/>
      <c r="H38" s="18"/>
      <c r="I38" s="69"/>
      <c r="J38" s="9"/>
      <c r="L38" s="5"/>
    </row>
    <row r="39" spans="1:14" ht="15.75" thickBot="1">
      <c r="A39" s="126" t="s">
        <v>43</v>
      </c>
      <c r="B39" s="129">
        <v>2.2000000000000002</v>
      </c>
      <c r="C39" s="128" t="s">
        <v>210</v>
      </c>
      <c r="D39" s="22" t="s">
        <v>196</v>
      </c>
      <c r="E39" s="16"/>
      <c r="F39" s="18"/>
      <c r="G39" s="18"/>
      <c r="H39" s="18"/>
      <c r="I39" s="68"/>
    </row>
    <row r="40" spans="1:14" ht="18.75" thickBot="1">
      <c r="A40" s="146" t="s">
        <v>224</v>
      </c>
      <c r="B40" s="152">
        <v>20</v>
      </c>
      <c r="C40" s="147" t="s">
        <v>223</v>
      </c>
      <c r="D40" s="148" t="s">
        <v>225</v>
      </c>
      <c r="E40" s="149"/>
      <c r="F40" s="150"/>
      <c r="G40" s="150"/>
      <c r="H40" s="150"/>
      <c r="I40" s="151"/>
    </row>
    <row r="41" spans="1:14" ht="18">
      <c r="A41" s="67" t="s">
        <v>50</v>
      </c>
      <c r="B41" s="17">
        <f ca="1">(C4-C5)/(IF(ISBLANK(B39),B38,B39)*0.000001)*(C29/100)/(IF(ISBLANK(B32),B31,B32)*1000000)</f>
        <v>0.60830100626989769</v>
      </c>
      <c r="C41" s="16" t="s">
        <v>72</v>
      </c>
      <c r="D41" s="22" t="s">
        <v>191</v>
      </c>
      <c r="E41" s="16"/>
      <c r="F41" s="18"/>
      <c r="G41" s="18"/>
      <c r="H41" s="18"/>
      <c r="I41" s="68"/>
      <c r="L41" s="5"/>
      <c r="M41" s="5"/>
      <c r="N41" s="5"/>
    </row>
    <row r="42" spans="1:14" ht="18">
      <c r="A42" s="67" t="s">
        <v>49</v>
      </c>
      <c r="B42" s="17">
        <f ca="1">(D4-(1+Constants!B4/100)*C5)/((1+B10/100)*IF(ISBLANK(B39),B38,B39)*0.000001)*(B29/100)/((1+Constants!B15/100)*IF(ISBLANK(B32),B31,B32)*1000000)</f>
        <v>0.89041285258431846</v>
      </c>
      <c r="C42" s="16" t="s">
        <v>72</v>
      </c>
      <c r="D42" s="22" t="s">
        <v>157</v>
      </c>
      <c r="E42" s="16"/>
      <c r="F42" s="18"/>
      <c r="G42" s="18"/>
      <c r="H42" s="18"/>
      <c r="I42" s="68"/>
      <c r="L42" s="144"/>
    </row>
    <row r="43" spans="1:14" ht="18.75" thickBot="1">
      <c r="A43" s="67" t="s">
        <v>203</v>
      </c>
      <c r="B43" s="17">
        <f ca="1">D6+B42/2</f>
        <v>3.9452064262921591</v>
      </c>
      <c r="C43" s="16" t="s">
        <v>73</v>
      </c>
      <c r="D43" s="22" t="s">
        <v>170</v>
      </c>
      <c r="E43" s="16"/>
      <c r="F43" s="18"/>
      <c r="G43" s="18"/>
      <c r="H43" s="18"/>
      <c r="I43" s="68"/>
    </row>
    <row r="44" spans="1:14" ht="18.75" thickBot="1">
      <c r="A44" s="100" t="s">
        <v>162</v>
      </c>
      <c r="B44" s="102">
        <f ca="1">Constants!C30+Constants!C29*B29-B43</f>
        <v>0.77316848707649433</v>
      </c>
      <c r="C44" s="103" t="s">
        <v>13</v>
      </c>
      <c r="D44" s="104" t="s">
        <v>192</v>
      </c>
      <c r="E44" s="103"/>
      <c r="F44" s="105"/>
      <c r="G44" s="105"/>
      <c r="H44" s="105"/>
      <c r="I44" s="106"/>
      <c r="K44" s="390" t="s">
        <v>299</v>
      </c>
      <c r="L44" s="391"/>
      <c r="M44" s="392"/>
      <c r="N44" s="5"/>
    </row>
    <row r="45" spans="1:14" ht="15.75" customHeight="1" thickBot="1">
      <c r="A45" s="339" t="s">
        <v>151</v>
      </c>
      <c r="B45" s="340"/>
      <c r="C45" s="340"/>
      <c r="D45" s="340"/>
      <c r="E45" s="340"/>
      <c r="F45" s="340"/>
      <c r="G45" s="340"/>
      <c r="H45" s="340"/>
      <c r="I45" s="341"/>
      <c r="K45" s="387" t="s">
        <v>301</v>
      </c>
      <c r="L45" s="388"/>
      <c r="M45" s="389"/>
    </row>
    <row r="46" spans="1:14" ht="15.75" customHeight="1" thickBot="1">
      <c r="A46" s="110" t="s">
        <v>178</v>
      </c>
      <c r="B46" s="113">
        <v>50</v>
      </c>
      <c r="C46" s="111" t="s">
        <v>26</v>
      </c>
      <c r="D46" s="112" t="s">
        <v>187</v>
      </c>
      <c r="E46" s="108"/>
      <c r="F46" s="108"/>
      <c r="G46" s="108"/>
      <c r="H46" s="108"/>
      <c r="I46" s="109"/>
      <c r="K46" s="393" t="s">
        <v>300</v>
      </c>
      <c r="L46" s="394"/>
      <c r="M46" s="395"/>
    </row>
    <row r="47" spans="1:14" ht="15.75" thickBot="1">
      <c r="A47" s="67" t="s">
        <v>155</v>
      </c>
      <c r="B47" s="140">
        <f>(IF(ISBLANK(B46),Constants!B37,B46))/Constants!B37*Constants!B38*Constants!B34/C5*Constants!B39/(IF(ISBLANK(B32),B31,B32))*D6/Constants!B35</f>
        <v>2</v>
      </c>
      <c r="C47" s="20" t="s">
        <v>145</v>
      </c>
      <c r="D47" s="136" t="s">
        <v>214</v>
      </c>
      <c r="E47" s="137"/>
      <c r="F47" s="138"/>
      <c r="G47" s="138"/>
      <c r="H47" s="138"/>
      <c r="I47" s="139"/>
      <c r="K47" s="396"/>
      <c r="L47" s="394"/>
      <c r="M47" s="395"/>
    </row>
    <row r="48" spans="1:14" ht="15.75" thickBot="1">
      <c r="A48" s="126" t="s">
        <v>134</v>
      </c>
      <c r="B48" s="141">
        <v>2</v>
      </c>
      <c r="C48" s="132" t="s">
        <v>145</v>
      </c>
      <c r="D48" s="22" t="s">
        <v>215</v>
      </c>
      <c r="E48" s="16"/>
      <c r="F48" s="18"/>
      <c r="G48" s="18"/>
      <c r="H48" s="18"/>
      <c r="I48" s="68"/>
      <c r="K48" s="314" t="s">
        <v>292</v>
      </c>
      <c r="L48" s="315"/>
      <c r="M48" s="316" t="s">
        <v>295</v>
      </c>
    </row>
    <row r="49" spans="1:13" ht="15.75" thickBot="1">
      <c r="A49" s="67" t="s">
        <v>137</v>
      </c>
      <c r="B49" s="15">
        <f>IF(ISBLANK(L48), IF(ISBLANK(B48),B47,B48)*(1-Constants!B41/100)*(Constants!C49*$C$5^3+Constants!C50*$C$5^2+Constants!C51*$C$5+Constants!C52), L48*IF(ISBLANK(L51),1,L51))</f>
        <v>17.073807839999997</v>
      </c>
      <c r="C49" s="16" t="s">
        <v>76</v>
      </c>
      <c r="D49" s="22" t="s">
        <v>188</v>
      </c>
      <c r="E49" s="16"/>
      <c r="F49" s="18"/>
      <c r="G49" s="18"/>
      <c r="H49" s="18"/>
      <c r="I49" s="68"/>
      <c r="K49" s="314" t="s">
        <v>293</v>
      </c>
      <c r="L49" s="315"/>
      <c r="M49" s="316" t="s">
        <v>296</v>
      </c>
    </row>
    <row r="50" spans="1:13" ht="18.75" thickBot="1">
      <c r="A50" s="100" t="s">
        <v>133</v>
      </c>
      <c r="B50" s="101">
        <f ca="1">IF(ISBLANK(L48), 1000*(B41*Constants!B42/1000/IF(ISBLANK(B48),B47,B48)+B41/(8*(IF(ISBLANK(B32),B31,B32))*1000000*B49/1000000)+(C4-C5)/(IF(ISBLANK(B39),B38,B39)/1000000)*Constants!B43/1000000000),
1000*(B41*L49/1000/IF(ISBLANK(L51),1,L51)+B41/(8*(IF(ISBLANK(B32),B31,B32))*1000000*L48*IF(ISBLANK(L51),1,L51)/1000000)+(C4-C5)/(IF(ISBLANK(B39),B38,B39)/1000000)*L50/1000000000/IF(ISBLANK(L51),1,L51)) )</f>
        <v>11.169817927122658</v>
      </c>
      <c r="C50" s="72" t="s">
        <v>143</v>
      </c>
      <c r="D50" s="73" t="s">
        <v>144</v>
      </c>
      <c r="E50" s="72"/>
      <c r="F50" s="74"/>
      <c r="G50" s="74"/>
      <c r="H50" s="74"/>
      <c r="I50" s="75"/>
      <c r="K50" s="314" t="s">
        <v>294</v>
      </c>
      <c r="L50" s="315"/>
      <c r="M50" s="316" t="s">
        <v>30</v>
      </c>
    </row>
    <row r="51" spans="1:13" ht="16.5" thickBot="1">
      <c r="A51" s="125" t="s">
        <v>206</v>
      </c>
      <c r="B51" s="123"/>
      <c r="C51" s="16"/>
      <c r="D51" s="124"/>
      <c r="E51" s="16"/>
      <c r="F51" s="18"/>
      <c r="G51" s="18"/>
      <c r="H51" s="18"/>
      <c r="I51" s="68"/>
      <c r="K51" s="100" t="s">
        <v>302</v>
      </c>
      <c r="L51" s="84"/>
      <c r="M51" s="317" t="s">
        <v>145</v>
      </c>
    </row>
    <row r="52" spans="1:13" ht="18.75" thickBot="1">
      <c r="A52" s="133" t="s">
        <v>211</v>
      </c>
      <c r="B52" s="134">
        <f ca="1">MAX(MAX(D6*SQRT(B29/100*(1-B29/100)),D6*SQRT(C29/100*(1-C29/100)), D6*SQRT(D29/100*(1-D29/100))),IF((B29&lt;50)*AND(D29&gt;50),D6*SQRT(0.5*(1-0.5)),0))</f>
        <v>1.7487705266120259</v>
      </c>
      <c r="C52" s="128" t="s">
        <v>212</v>
      </c>
      <c r="D52" s="107" t="s">
        <v>204</v>
      </c>
      <c r="E52" s="16"/>
      <c r="F52" s="18"/>
      <c r="G52" s="18"/>
      <c r="H52" s="18"/>
      <c r="I52" s="68"/>
    </row>
    <row r="53" spans="1:13" ht="15.75" customHeight="1">
      <c r="A53" s="339" t="s">
        <v>152</v>
      </c>
      <c r="B53" s="340"/>
      <c r="C53" s="340"/>
      <c r="D53" s="340"/>
      <c r="E53" s="340"/>
      <c r="F53" s="340"/>
      <c r="G53" s="340"/>
      <c r="H53" s="340"/>
      <c r="I53" s="341"/>
    </row>
    <row r="54" spans="1:13">
      <c r="A54" s="126" t="s">
        <v>45</v>
      </c>
      <c r="B54" s="127">
        <f ca="1">IF(AND(B29&lt;50, D29&gt;50), 1000000*D6*0.5*(1-0.5)/((1+Constants!B15/100)*IF(ISBLANK(B32),B31,B32)*1000000*Constants!C9*Constants!B8/1000), MAX(1000000*D6*D29/100*(1-D29/100)/((1+Constants!B15/100)*IF(ISBLANK(B32),B31,B32)*1000000*Constants!C9*Constants!B8/1000), 1000000*D6*C29/100*(1-C29/100)/((1+Constants!B15/100)*IF(ISBLANK(B32),B31,B32)*1000000*Constants!C9*Constants!B8/1000), 1000000*D6*B29/100*(1-B29/100)/((1+Constants!B15/100)*IF(ISBLANK(B32),B31,B32)*1000000*Constants!C9*Constants!B8/1000)))</f>
        <v>3.4673450734091862</v>
      </c>
      <c r="C54" s="128" t="s">
        <v>213</v>
      </c>
      <c r="D54" s="22" t="s">
        <v>82</v>
      </c>
      <c r="E54" s="16"/>
      <c r="F54" s="18"/>
      <c r="G54" s="18"/>
      <c r="H54" s="18"/>
      <c r="I54" s="68"/>
    </row>
    <row r="55" spans="1:13" ht="18.75" thickBot="1">
      <c r="A55" s="70" t="s">
        <v>205</v>
      </c>
      <c r="B55" s="71">
        <f ca="1">D6*SQRT(D29/100*(1-D29/100))</f>
        <v>1.7487705266120259</v>
      </c>
      <c r="C55" s="72" t="s">
        <v>77</v>
      </c>
      <c r="D55" s="73" t="s">
        <v>47</v>
      </c>
      <c r="E55" s="72"/>
      <c r="F55" s="74"/>
      <c r="G55" s="74"/>
      <c r="H55" s="74"/>
      <c r="I55" s="75"/>
    </row>
    <row r="56" spans="1:13" ht="15.75" customHeight="1">
      <c r="A56" s="339" t="s">
        <v>153</v>
      </c>
      <c r="B56" s="340"/>
      <c r="C56" s="340"/>
      <c r="D56" s="340"/>
      <c r="E56" s="340"/>
      <c r="F56" s="340"/>
      <c r="G56" s="340"/>
      <c r="H56" s="340"/>
      <c r="I56" s="341"/>
    </row>
    <row r="57" spans="1:13" ht="15.75" thickBot="1">
      <c r="A57" s="67" t="s">
        <v>61</v>
      </c>
      <c r="B57" s="17">
        <f>1000000000*Constants!C25/1000000*C11/1000/Constants!C3</f>
        <v>18.75</v>
      </c>
      <c r="C57" s="16" t="s">
        <v>18</v>
      </c>
      <c r="D57" s="22" t="s">
        <v>68</v>
      </c>
      <c r="E57" s="16"/>
      <c r="F57" s="18"/>
      <c r="G57" s="18"/>
      <c r="H57" s="18"/>
      <c r="I57" s="68"/>
    </row>
    <row r="58" spans="1:13" ht="15.75" thickBot="1">
      <c r="A58" s="126" t="s">
        <v>67</v>
      </c>
      <c r="B58" s="135">
        <v>22</v>
      </c>
      <c r="C58" s="128" t="s">
        <v>18</v>
      </c>
      <c r="D58" s="22" t="s">
        <v>163</v>
      </c>
      <c r="E58" s="16"/>
      <c r="F58" s="18"/>
      <c r="G58" s="18"/>
      <c r="H58" s="18"/>
      <c r="I58" s="68"/>
    </row>
    <row r="59" spans="1:13">
      <c r="A59" s="67" t="s">
        <v>64</v>
      </c>
      <c r="B59" s="17">
        <f>1000*IF(ISBLANK(B58),B57,B58)/1000000000*Constants!C3/(Constants!C25/1000000)</f>
        <v>0.88</v>
      </c>
      <c r="C59" s="16" t="s">
        <v>39</v>
      </c>
      <c r="D59" s="22" t="s">
        <v>66</v>
      </c>
      <c r="E59" s="16"/>
      <c r="F59" s="18"/>
      <c r="G59" s="18"/>
      <c r="H59" s="18"/>
      <c r="I59" s="68"/>
    </row>
    <row r="60" spans="1:13" ht="15.75" thickBot="1">
      <c r="A60" s="70" t="s">
        <v>65</v>
      </c>
      <c r="B60" s="71">
        <f>1000*IF(ISBLANK(B58),B57,B58)/1000000000*Constants!C26/1000/(Constants!C25/1000000)</f>
        <v>0.36299999999999999</v>
      </c>
      <c r="C60" s="72" t="s">
        <v>39</v>
      </c>
      <c r="D60" s="73" t="s">
        <v>83</v>
      </c>
      <c r="E60" s="72"/>
      <c r="F60" s="74"/>
      <c r="G60" s="74"/>
      <c r="H60" s="74"/>
      <c r="I60" s="75"/>
    </row>
    <row r="61" spans="1:13" ht="15.75" customHeight="1">
      <c r="A61" s="339" t="s">
        <v>154</v>
      </c>
      <c r="B61" s="340"/>
      <c r="C61" s="340"/>
      <c r="D61" s="340"/>
      <c r="E61" s="340"/>
      <c r="F61" s="340"/>
      <c r="G61" s="340"/>
      <c r="H61" s="340"/>
      <c r="I61" s="341"/>
    </row>
    <row r="62" spans="1:13" ht="18.75" thickBot="1">
      <c r="A62" s="67" t="s">
        <v>80</v>
      </c>
      <c r="B62" s="87">
        <f>1000*IF(ISBLANK(B32),B31,B32)/11</f>
        <v>181.81818181818181</v>
      </c>
      <c r="C62" s="16" t="s">
        <v>20</v>
      </c>
      <c r="D62" s="22" t="s">
        <v>92</v>
      </c>
      <c r="E62" s="16"/>
      <c r="F62" s="18"/>
      <c r="G62" s="18"/>
      <c r="H62" s="18"/>
      <c r="I62" s="68"/>
    </row>
    <row r="63" spans="1:13" ht="18.75" thickBot="1">
      <c r="A63" s="67" t="s">
        <v>46</v>
      </c>
      <c r="B63" s="23">
        <v>145</v>
      </c>
      <c r="C63" s="16" t="s">
        <v>20</v>
      </c>
      <c r="D63" s="22" t="s">
        <v>279</v>
      </c>
      <c r="E63" s="16"/>
      <c r="F63" s="18"/>
      <c r="G63" s="18"/>
      <c r="H63" s="18"/>
      <c r="I63" s="68"/>
    </row>
    <row r="64" spans="1:13" ht="18">
      <c r="A64" s="67" t="s">
        <v>91</v>
      </c>
      <c r="B64" s="19">
        <f ca="1">C5/AVERAGE(B41/2, D6)</f>
        <v>1.7349471306566417</v>
      </c>
      <c r="C64" s="20" t="s">
        <v>84</v>
      </c>
      <c r="D64" s="22" t="s">
        <v>96</v>
      </c>
      <c r="E64" s="16"/>
      <c r="F64" s="18"/>
      <c r="G64" s="18"/>
      <c r="H64" s="18"/>
      <c r="I64" s="68"/>
    </row>
    <row r="65" spans="1:9" ht="18">
      <c r="A65" s="67" t="s">
        <v>85</v>
      </c>
      <c r="B65" s="17">
        <f ca="1">1/(6.28*B64*B49/1000000)/1000</f>
        <v>5.3755601031706544</v>
      </c>
      <c r="C65" s="20" t="s">
        <v>20</v>
      </c>
      <c r="D65" s="22" t="s">
        <v>297</v>
      </c>
      <c r="E65" s="16"/>
      <c r="F65" s="18"/>
      <c r="G65" s="18"/>
      <c r="H65" s="18"/>
      <c r="I65" s="68"/>
    </row>
    <row r="66" spans="1:9" ht="18">
      <c r="A66" s="67" t="s">
        <v>86</v>
      </c>
      <c r="B66" s="19">
        <f>IF(ISBLANK(L48), 1/(6.28*Constants!B42/(IF(ISBLANK(B48),B47,B48))/1000*B49/1000000)/1000, 1/(6.28*IF(ISBLANK(L49),Constants!B42,L49)/(IF(ISBLANK(L51),1,L51))/1000*B49/1000000)/1000)</f>
        <v>3108.7708588894161</v>
      </c>
      <c r="C66" s="20" t="s">
        <v>20</v>
      </c>
      <c r="D66" s="22" t="s">
        <v>93</v>
      </c>
      <c r="E66" s="16"/>
      <c r="F66" s="18"/>
      <c r="G66" s="18"/>
      <c r="H66" s="18"/>
      <c r="I66" s="68"/>
    </row>
    <row r="67" spans="1:9" ht="15.75" thickBot="1">
      <c r="A67" s="67" t="s">
        <v>14</v>
      </c>
      <c r="B67" s="19">
        <f>IF(ISBLANK(B63),B62,B63)*1000*(C5/Constants!C3)*((6.28*B49/1000000)/(Constants!C13*Constants!C11/1000000))/1000</f>
        <v>17.102150361014395</v>
      </c>
      <c r="C67" s="16" t="s">
        <v>69</v>
      </c>
      <c r="D67" s="22" t="s">
        <v>298</v>
      </c>
      <c r="E67" s="16"/>
      <c r="F67" s="18"/>
      <c r="G67" s="18"/>
      <c r="H67" s="18"/>
      <c r="I67" s="68"/>
    </row>
    <row r="68" spans="1:9" ht="15.75" thickBot="1">
      <c r="A68" s="126" t="s">
        <v>89</v>
      </c>
      <c r="B68" s="129">
        <v>17.399999999999999</v>
      </c>
      <c r="C68" s="128" t="s">
        <v>208</v>
      </c>
      <c r="D68" s="22" t="s">
        <v>97</v>
      </c>
      <c r="E68" s="16"/>
      <c r="F68" s="18"/>
      <c r="G68" s="18"/>
      <c r="H68" s="18"/>
      <c r="I68" s="68"/>
    </row>
    <row r="69" spans="1:9">
      <c r="A69" s="126" t="s">
        <v>15</v>
      </c>
      <c r="B69" s="127">
        <f ca="1">1000000000/(6.28*IF(ISBLANK(B68),B67,B68)*1000*1.5*B65*1000)</f>
        <v>1.1349484261069303</v>
      </c>
      <c r="C69" s="128" t="s">
        <v>18</v>
      </c>
      <c r="D69" s="22" t="s">
        <v>100</v>
      </c>
      <c r="E69" s="16"/>
      <c r="F69" s="18"/>
      <c r="G69" s="18"/>
      <c r="H69" s="18"/>
      <c r="I69" s="68"/>
    </row>
    <row r="70" spans="1:9" ht="15.75" thickBot="1">
      <c r="A70" s="130" t="s">
        <v>16</v>
      </c>
      <c r="B70" s="313">
        <f>IF(B66&gt;10*IF(ISBLANK(B63),B62,B63), MIN(1000000000000/(6.28*IF(ISBLANK(B68),B67,B68)*1000*7.5*IF(ISBLANK(B63),B62,B63)*1000),1000000000000/(6.28*IF(ISBLANK(B68),B67,B68)*1000*IF(ISBLANK(B32),B31,B32)*1000000/2)),
1000000000000/(6.28*IF(ISBLANK(B68),B67,B68)*1000*B66*1000))</f>
        <v>8.4151496255679188</v>
      </c>
      <c r="C70" s="131" t="s">
        <v>19</v>
      </c>
      <c r="D70" s="73" t="s">
        <v>101</v>
      </c>
      <c r="E70" s="72"/>
      <c r="F70" s="74"/>
      <c r="G70" s="74"/>
      <c r="H70" s="74"/>
      <c r="I70" s="75"/>
    </row>
    <row r="71" spans="1:9">
      <c r="B71" s="5"/>
      <c r="C71" s="7"/>
    </row>
    <row r="72" spans="1:9">
      <c r="B72" s="8"/>
      <c r="C72" s="10"/>
    </row>
    <row r="91" spans="1:9">
      <c r="A91" s="374"/>
      <c r="B91" s="374"/>
      <c r="C91" s="374"/>
      <c r="D91" s="374"/>
      <c r="E91" s="374"/>
      <c r="F91" s="374"/>
      <c r="G91" s="374"/>
      <c r="H91" s="374"/>
      <c r="I91" s="374"/>
    </row>
  </sheetData>
  <sheetProtection password="83AF" sheet="1" objects="1" scenarios="1"/>
  <mergeCells count="35">
    <mergeCell ref="K45:M45"/>
    <mergeCell ref="K44:M44"/>
    <mergeCell ref="K46:M47"/>
    <mergeCell ref="F7:I7"/>
    <mergeCell ref="F8:I8"/>
    <mergeCell ref="F9:I9"/>
    <mergeCell ref="F10:I10"/>
    <mergeCell ref="F3:I3"/>
    <mergeCell ref="F4:I4"/>
    <mergeCell ref="F5:I5"/>
    <mergeCell ref="F6:I6"/>
    <mergeCell ref="A91:I91"/>
    <mergeCell ref="A14:C14"/>
    <mergeCell ref="E14:I14"/>
    <mergeCell ref="E18:I18"/>
    <mergeCell ref="E17:I17"/>
    <mergeCell ref="E16:I16"/>
    <mergeCell ref="E15:I15"/>
    <mergeCell ref="B19:C19"/>
    <mergeCell ref="A1:I1"/>
    <mergeCell ref="A53:I53"/>
    <mergeCell ref="A56:I56"/>
    <mergeCell ref="A61:I61"/>
    <mergeCell ref="A27:I27"/>
    <mergeCell ref="F11:I11"/>
    <mergeCell ref="F13:I13"/>
    <mergeCell ref="A22:I22"/>
    <mergeCell ref="A30:I30"/>
    <mergeCell ref="A37:I37"/>
    <mergeCell ref="A45:I45"/>
    <mergeCell ref="D21:I21"/>
    <mergeCell ref="F12:I12"/>
    <mergeCell ref="A20:I20"/>
    <mergeCell ref="A2:I2"/>
    <mergeCell ref="B18:C18"/>
  </mergeCells>
  <conditionalFormatting sqref="B44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6" fitToHeight="2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sqref="A1:I1"/>
    </sheetView>
  </sheetViews>
  <sheetFormatPr defaultRowHeight="15"/>
  <cols>
    <col min="1" max="1" width="20.7109375" customWidth="1"/>
    <col min="2" max="4" width="12.7109375" customWidth="1"/>
    <col min="5" max="6" width="15.7109375" customWidth="1"/>
  </cols>
  <sheetData>
    <row r="1" spans="1:11" ht="21.75" thickBot="1">
      <c r="A1" s="336" t="s">
        <v>317</v>
      </c>
      <c r="B1" s="337"/>
      <c r="C1" s="337"/>
      <c r="D1" s="337"/>
      <c r="E1" s="337"/>
      <c r="F1" s="337"/>
      <c r="G1" s="337"/>
      <c r="H1" s="337"/>
      <c r="I1" s="338"/>
    </row>
    <row r="2" spans="1:11" ht="24" customHeight="1" thickBot="1">
      <c r="A2" s="360" t="s">
        <v>177</v>
      </c>
      <c r="B2" s="361"/>
      <c r="C2" s="361"/>
      <c r="D2" s="361"/>
      <c r="E2" s="361"/>
      <c r="F2" s="361"/>
      <c r="G2" s="361"/>
      <c r="H2" s="361"/>
      <c r="I2" s="362"/>
    </row>
    <row r="3" spans="1:11" ht="19.5" thickBot="1">
      <c r="A3" s="115" t="s">
        <v>146</v>
      </c>
      <c r="B3" s="63" t="s">
        <v>33</v>
      </c>
      <c r="C3" s="62" t="s">
        <v>34</v>
      </c>
      <c r="D3" s="63" t="s">
        <v>35</v>
      </c>
      <c r="E3" s="63" t="s">
        <v>36</v>
      </c>
      <c r="F3" s="365" t="s">
        <v>38</v>
      </c>
      <c r="G3" s="366"/>
      <c r="H3" s="366"/>
      <c r="I3" s="367"/>
    </row>
    <row r="4" spans="1:11" ht="18.75" thickBot="1">
      <c r="A4" s="64" t="s">
        <v>237</v>
      </c>
      <c r="B4" s="30" t="s">
        <v>24</v>
      </c>
      <c r="C4" s="23">
        <v>147</v>
      </c>
      <c r="D4" s="290" t="s">
        <v>24</v>
      </c>
      <c r="E4" s="176" t="s">
        <v>17</v>
      </c>
      <c r="F4" s="400" t="s">
        <v>234</v>
      </c>
      <c r="G4" s="401"/>
      <c r="H4" s="401"/>
      <c r="I4" s="402"/>
    </row>
    <row r="5" spans="1:11" ht="18.75" thickBot="1">
      <c r="A5" s="64" t="s">
        <v>240</v>
      </c>
      <c r="B5" s="14" t="s">
        <v>24</v>
      </c>
      <c r="C5" s="291">
        <f>1000000000/(C4*1000000)</f>
        <v>6.8027210884353737</v>
      </c>
      <c r="D5" s="14" t="s">
        <v>24</v>
      </c>
      <c r="E5" s="176" t="s">
        <v>4</v>
      </c>
      <c r="F5" s="184" t="s">
        <v>239</v>
      </c>
      <c r="G5" s="185"/>
      <c r="H5" s="185"/>
      <c r="I5" s="186"/>
    </row>
    <row r="6" spans="1:11" ht="18.75" thickBot="1">
      <c r="A6" s="178" t="s">
        <v>233</v>
      </c>
      <c r="B6" s="83" t="s">
        <v>24</v>
      </c>
      <c r="C6" s="84">
        <v>120</v>
      </c>
      <c r="D6" s="282" t="s">
        <v>24</v>
      </c>
      <c r="E6" s="86" t="s">
        <v>19</v>
      </c>
      <c r="F6" s="381" t="s">
        <v>235</v>
      </c>
      <c r="G6" s="379"/>
      <c r="H6" s="379"/>
      <c r="I6" s="380"/>
    </row>
    <row r="7" spans="1:11" ht="15.75" thickBot="1">
      <c r="A7" s="64" t="s">
        <v>248</v>
      </c>
      <c r="B7" s="30" t="s">
        <v>24</v>
      </c>
      <c r="C7" s="23">
        <v>50</v>
      </c>
      <c r="D7" s="290" t="s">
        <v>24</v>
      </c>
      <c r="E7" s="13" t="s">
        <v>19</v>
      </c>
      <c r="F7" s="371" t="s">
        <v>249</v>
      </c>
      <c r="G7" s="372"/>
      <c r="H7" s="372"/>
      <c r="I7" s="373"/>
    </row>
    <row r="8" spans="1:11" ht="18.75" thickBot="1">
      <c r="A8" s="188" t="s">
        <v>246</v>
      </c>
      <c r="B8" s="189" t="s">
        <v>24</v>
      </c>
      <c r="C8" s="328">
        <v>2.5</v>
      </c>
      <c r="D8" s="283" t="s">
        <v>24</v>
      </c>
      <c r="E8" s="177" t="s">
        <v>257</v>
      </c>
      <c r="F8" s="345" t="s">
        <v>245</v>
      </c>
      <c r="G8" s="346"/>
      <c r="H8" s="346"/>
      <c r="I8" s="347"/>
    </row>
    <row r="9" spans="1:11" ht="32.1" customHeight="1" thickBot="1">
      <c r="A9" s="397" t="s">
        <v>207</v>
      </c>
      <c r="B9" s="398"/>
      <c r="C9" s="398"/>
      <c r="D9" s="398"/>
      <c r="E9" s="398"/>
      <c r="F9" s="398"/>
      <c r="G9" s="398"/>
      <c r="H9" s="398"/>
      <c r="I9" s="399"/>
    </row>
    <row r="10" spans="1:11" ht="18" customHeight="1">
      <c r="A10" s="175" t="s">
        <v>32</v>
      </c>
      <c r="B10" s="116" t="s">
        <v>31</v>
      </c>
      <c r="C10" s="116" t="s">
        <v>36</v>
      </c>
      <c r="D10" s="351" t="s">
        <v>38</v>
      </c>
      <c r="E10" s="352"/>
      <c r="F10" s="352"/>
      <c r="G10" s="352"/>
      <c r="H10" s="352"/>
      <c r="I10" s="353"/>
    </row>
    <row r="11" spans="1:11" ht="15.75">
      <c r="A11" s="348" t="s">
        <v>232</v>
      </c>
      <c r="B11" s="349"/>
      <c r="C11" s="349"/>
      <c r="D11" s="349"/>
      <c r="E11" s="349"/>
      <c r="F11" s="349"/>
      <c r="G11" s="349"/>
      <c r="H11" s="349"/>
      <c r="I11" s="350"/>
    </row>
    <row r="12" spans="1:11" ht="18">
      <c r="A12" s="67" t="s">
        <v>236</v>
      </c>
      <c r="B12" s="17">
        <f>1000000000*(C5/1000000000)^2/(4*3.14^2*(C6/1000000000000+C7/1000000000000))</f>
        <v>6.9023522919202289</v>
      </c>
      <c r="C12" s="16" t="s">
        <v>30</v>
      </c>
      <c r="D12" s="21" t="s">
        <v>244</v>
      </c>
      <c r="E12" s="16"/>
      <c r="F12" s="18"/>
      <c r="G12" s="18"/>
      <c r="H12" s="18"/>
      <c r="I12" s="68"/>
    </row>
    <row r="13" spans="1:11" ht="18.75" thickBot="1">
      <c r="A13" s="67" t="s">
        <v>283</v>
      </c>
      <c r="B13" s="285">
        <f>SQRT(B12*0.000000001/(C6*0.000000000001+C7*0.000000000001))</f>
        <v>6.3719755418090793</v>
      </c>
      <c r="C13" s="286" t="s">
        <v>84</v>
      </c>
      <c r="D13" s="21" t="s">
        <v>242</v>
      </c>
      <c r="E13" s="137"/>
      <c r="F13" s="138"/>
      <c r="G13" s="138"/>
      <c r="H13" s="138"/>
      <c r="I13" s="139"/>
    </row>
    <row r="14" spans="1:11" ht="18.75" thickBot="1">
      <c r="A14" s="126" t="s">
        <v>286</v>
      </c>
      <c r="B14" s="289">
        <v>6.34</v>
      </c>
      <c r="C14" s="132" t="s">
        <v>84</v>
      </c>
      <c r="D14" s="21" t="s">
        <v>285</v>
      </c>
      <c r="E14" s="137"/>
      <c r="F14" s="138"/>
      <c r="G14" s="138"/>
      <c r="H14" s="138"/>
      <c r="I14" s="139"/>
    </row>
    <row r="15" spans="1:11" ht="18.75" thickBot="1">
      <c r="A15" s="67" t="s">
        <v>284</v>
      </c>
      <c r="B15" s="287">
        <f>1000000000000/C8*(C5/1000000000)/B14</f>
        <v>429.19375952273651</v>
      </c>
      <c r="C15" s="288" t="s">
        <v>19</v>
      </c>
      <c r="D15" s="21" t="s">
        <v>243</v>
      </c>
      <c r="E15" s="16"/>
      <c r="F15" s="18"/>
      <c r="G15" s="18"/>
      <c r="H15" s="18"/>
      <c r="I15" s="68"/>
    </row>
    <row r="16" spans="1:11" ht="18.75" thickBot="1">
      <c r="A16" s="126" t="s">
        <v>287</v>
      </c>
      <c r="B16" s="329">
        <v>470</v>
      </c>
      <c r="C16" s="128" t="s">
        <v>19</v>
      </c>
      <c r="D16" s="21" t="s">
        <v>315</v>
      </c>
      <c r="E16" s="16"/>
      <c r="F16" s="18"/>
      <c r="G16" s="18"/>
      <c r="H16" s="18"/>
      <c r="I16" s="68"/>
      <c r="K16" s="12" t="s">
        <v>314</v>
      </c>
    </row>
    <row r="17" spans="1:9" ht="18.75" thickBot="1">
      <c r="A17" s="181" t="s">
        <v>238</v>
      </c>
      <c r="B17" s="187">
        <f>1000*0.5*B16/1000000000000*Design!D4^2*IF(ISBLANK(Design!B32),Design!B31,Design!B32)*1000000</f>
        <v>120.32</v>
      </c>
      <c r="C17" s="182" t="s">
        <v>241</v>
      </c>
      <c r="D17" s="183" t="s">
        <v>247</v>
      </c>
      <c r="E17" s="179"/>
      <c r="F17" s="179"/>
      <c r="G17" s="179"/>
      <c r="H17" s="179"/>
      <c r="I17" s="180"/>
    </row>
    <row r="33" spans="3:3">
      <c r="C33" s="12" t="s">
        <v>256</v>
      </c>
    </row>
  </sheetData>
  <sheetProtection password="83AF" sheet="1" objects="1" scenarios="1"/>
  <mergeCells count="10">
    <mergeCell ref="F8:I8"/>
    <mergeCell ref="A9:I9"/>
    <mergeCell ref="D10:I10"/>
    <mergeCell ref="A11:I11"/>
    <mergeCell ref="A1:I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6" fitToHeight="2" orientation="portrait" horizontalDpi="4294967293" verticalDpi="0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6"/>
  <sheetViews>
    <sheetView zoomScaleNormal="100" workbookViewId="0">
      <selection sqref="A1:BI1"/>
    </sheetView>
  </sheetViews>
  <sheetFormatPr defaultRowHeight="15"/>
  <cols>
    <col min="1" max="5" width="6.7109375" style="1" customWidth="1"/>
    <col min="6" max="20" width="6.7109375" style="198" customWidth="1"/>
    <col min="21" max="61" width="6.7109375" customWidth="1"/>
  </cols>
  <sheetData>
    <row r="1" spans="1:61" ht="24" customHeight="1" thickBot="1">
      <c r="A1" s="403" t="s">
        <v>193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5"/>
    </row>
    <row r="2" spans="1:61" s="261" customFormat="1" ht="18" customHeight="1">
      <c r="A2" s="277"/>
      <c r="B2" s="319" t="s">
        <v>290</v>
      </c>
      <c r="C2" s="320">
        <f>Design!B4</f>
        <v>8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2"/>
      <c r="V2" s="319" t="s">
        <v>290</v>
      </c>
      <c r="W2" s="320">
        <f>Design!C4</f>
        <v>12</v>
      </c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2"/>
      <c r="AP2" s="319" t="s">
        <v>290</v>
      </c>
      <c r="AQ2" s="320">
        <f>Design!D4</f>
        <v>16</v>
      </c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2"/>
    </row>
    <row r="3" spans="1:61" s="201" customFormat="1" thickBot="1">
      <c r="A3" s="278" t="s">
        <v>229</v>
      </c>
      <c r="B3" s="262" t="s">
        <v>103</v>
      </c>
      <c r="C3" s="255" t="s">
        <v>254</v>
      </c>
      <c r="D3" s="246" t="s">
        <v>252</v>
      </c>
      <c r="E3" s="246" t="s">
        <v>253</v>
      </c>
      <c r="F3" s="246" t="s">
        <v>104</v>
      </c>
      <c r="G3" s="246" t="s">
        <v>105</v>
      </c>
      <c r="H3" s="246" t="s">
        <v>106</v>
      </c>
      <c r="I3" s="246" t="s">
        <v>217</v>
      </c>
      <c r="J3" s="246" t="s">
        <v>272</v>
      </c>
      <c r="K3" s="246" t="s">
        <v>274</v>
      </c>
      <c r="L3" s="246" t="s">
        <v>275</v>
      </c>
      <c r="M3" s="246" t="s">
        <v>288</v>
      </c>
      <c r="N3" s="246" t="s">
        <v>305</v>
      </c>
      <c r="O3" s="246" t="s">
        <v>306</v>
      </c>
      <c r="P3" s="246" t="s">
        <v>122</v>
      </c>
      <c r="Q3" s="246" t="s">
        <v>266</v>
      </c>
      <c r="R3" s="246" t="s">
        <v>273</v>
      </c>
      <c r="S3" s="246" t="s">
        <v>276</v>
      </c>
      <c r="T3" s="246" t="s">
        <v>277</v>
      </c>
      <c r="U3" s="263" t="s">
        <v>261</v>
      </c>
      <c r="V3" s="262" t="s">
        <v>103</v>
      </c>
      <c r="W3" s="255" t="s">
        <v>254</v>
      </c>
      <c r="X3" s="246" t="s">
        <v>252</v>
      </c>
      <c r="Y3" s="246" t="s">
        <v>253</v>
      </c>
      <c r="Z3" s="246" t="s">
        <v>104</v>
      </c>
      <c r="AA3" s="246" t="s">
        <v>105</v>
      </c>
      <c r="AB3" s="246" t="s">
        <v>106</v>
      </c>
      <c r="AC3" s="246" t="s">
        <v>217</v>
      </c>
      <c r="AD3" s="246" t="s">
        <v>272</v>
      </c>
      <c r="AE3" s="246" t="s">
        <v>274</v>
      </c>
      <c r="AF3" s="246" t="s">
        <v>275</v>
      </c>
      <c r="AG3" s="246" t="s">
        <v>288</v>
      </c>
      <c r="AH3" s="246" t="s">
        <v>305</v>
      </c>
      <c r="AI3" s="246" t="s">
        <v>306</v>
      </c>
      <c r="AJ3" s="246" t="s">
        <v>122</v>
      </c>
      <c r="AK3" s="246" t="s">
        <v>266</v>
      </c>
      <c r="AL3" s="246" t="s">
        <v>273</v>
      </c>
      <c r="AM3" s="246" t="s">
        <v>276</v>
      </c>
      <c r="AN3" s="246" t="s">
        <v>277</v>
      </c>
      <c r="AO3" s="263" t="s">
        <v>261</v>
      </c>
      <c r="AP3" s="262" t="s">
        <v>103</v>
      </c>
      <c r="AQ3" s="255" t="s">
        <v>254</v>
      </c>
      <c r="AR3" s="246" t="s">
        <v>252</v>
      </c>
      <c r="AS3" s="246" t="s">
        <v>253</v>
      </c>
      <c r="AT3" s="246" t="s">
        <v>104</v>
      </c>
      <c r="AU3" s="246" t="s">
        <v>105</v>
      </c>
      <c r="AV3" s="246" t="s">
        <v>106</v>
      </c>
      <c r="AW3" s="246" t="s">
        <v>217</v>
      </c>
      <c r="AX3" s="246" t="s">
        <v>272</v>
      </c>
      <c r="AY3" s="246" t="s">
        <v>274</v>
      </c>
      <c r="AZ3" s="246" t="s">
        <v>275</v>
      </c>
      <c r="BA3" s="246" t="s">
        <v>288</v>
      </c>
      <c r="BB3" s="246" t="s">
        <v>305</v>
      </c>
      <c r="BC3" s="246" t="s">
        <v>306</v>
      </c>
      <c r="BD3" s="246" t="s">
        <v>122</v>
      </c>
      <c r="BE3" s="246" t="s">
        <v>266</v>
      </c>
      <c r="BF3" s="246" t="s">
        <v>273</v>
      </c>
      <c r="BG3" s="246" t="s">
        <v>276</v>
      </c>
      <c r="BH3" s="246" t="s">
        <v>277</v>
      </c>
      <c r="BI3" s="263" t="s">
        <v>261</v>
      </c>
    </row>
    <row r="4" spans="1:61" s="163" customFormat="1" ht="12.75" customHeight="1">
      <c r="A4" s="202">
        <v>25</v>
      </c>
      <c r="B4" s="274">
        <v>0.25</v>
      </c>
      <c r="C4" s="204">
        <f ca="1">FORECAST(B4, OFFSET(Design!$C$15:$C$17,MATCH(B4,Design!$B$15:$B$17,1)-1,0,2), OFFSET(Design!$B$15:$B$17,MATCH(B4,Design!$B$15:$B$17,1)-1,0,2))+(N4-25)*Design!$B$18/1000</f>
        <v>0.32132366747890395</v>
      </c>
      <c r="D4" s="215">
        <f ca="1">IF(100*(Design!$C$28+C4+B4*IF(ISBLANK(Design!$B$40),Constants!$C$6,Design!$B$40)/1000*(1+Constants!$C$31/100*(O4-25)))/($C$2+C4-B4*P4/1000)&gt;Design!$C$35,Design!$C$35,100*(Design!$C$28+C4+B4*IF(ISBLANK(Design!$B$40),Constants!$C$6,Design!$B$40)/1000*(1+Constants!$C$31/100*(O4-25)))/($C$2+C4-B4*P4/1000))</f>
        <v>43.97688195357712</v>
      </c>
      <c r="E4" s="205">
        <f ca="1">IF(($C$2-B4*IF(ISBLANK(Design!$B$40),Constants!$C$6,Design!$B$40)/1000*(1+Constants!$C$31/100*(O4-25))-Design!$C$28) / (IF(ISBLANK(Design!$B$39),Design!$B$38,Design!$B$39)/1000000) * D4/100/(IF(ISBLANK(Design!$B$32),Design!$B$31,Design!$B$32)*1000000)&lt;0,0,($C$2-B4*IF(ISBLANK(Design!$B$40),Constants!$C$6,Design!$B$40)/1000*(1+Constants!$C$31/100*(O4-25))-Design!$C$28) / (IF(ISBLANK(Design!$B$39),Design!$B$38,Design!$B$39)/1000000) * D4/100/(IF(ISBLANK(Design!$B$32),Design!$B$31,Design!$B$32)*1000000))</f>
        <v>0.46685608462233569</v>
      </c>
      <c r="F4" s="206">
        <f>$C$2*Constants!$C$18/1000+IF(ISBLANK(Design!$B$32),Design!$B$31,Design!$B$32)*1000000*Constants!$D$22/1000000000*($C$2-Constants!$C$21)</f>
        <v>5.3999999999999999E-2</v>
      </c>
      <c r="G4" s="206">
        <f>$C$2*B4*($C$2/(Constants!$C$23*1000000000)*IF(ISBLANK(Design!$B$32),Design!$B$31,Design!$B$32)*1000000/2+$C$2/(Constants!$C$24*1000000000)*IF(ISBLANK(Design!$B$32),Design!$B$31,Design!$B$32)*1000000/2)</f>
        <v>1.9348370927318295E-2</v>
      </c>
      <c r="H4" s="206">
        <f t="shared" ref="H4:H17" ca="1" si="0">IF($D$86,1,D4/100*(B4^2+E4^2/12)*P4/1000)</f>
        <v>2.952282082503541E-3</v>
      </c>
      <c r="I4" s="206">
        <f>Constants!$D$22/1000000000*Constants!$C$21*IF(ISBLANK(Design!$B$32),Design!$B$31,Design!$B$32)*1000000</f>
        <v>4.9999999999999996E-2</v>
      </c>
      <c r="J4" s="206">
        <f t="shared" ref="J4:J17" ca="1" si="1">SUM(F4:I4)</f>
        <v>0.12630065300982185</v>
      </c>
      <c r="K4" s="206">
        <f t="shared" ref="K4:K17" ca="1" si="2">B4*C4*(1-D4/100)</f>
        <v>4.5003884385700424E-2</v>
      </c>
      <c r="L4" s="206">
        <f ca="1">B4^2*Design!$B$40/1000*(1+(O4-25)*(Constants!$C$31/100))</f>
        <v>1.2710953665689656E-3</v>
      </c>
      <c r="M4" s="206">
        <f>0.5*Snubber!$B$16/1000000000000*$C$2^2*Design!$B$32*1000000</f>
        <v>3.0080000000000003E-2</v>
      </c>
      <c r="N4" s="207">
        <f ca="1">$A4+K4*Design!$B$19</f>
        <v>27.565221409984925</v>
      </c>
      <c r="O4" s="207">
        <f ca="1">J4*Design!$C$12+A4</f>
        <v>29.294222202333941</v>
      </c>
      <c r="P4" s="207">
        <f ca="1">Constants!$D$19+Constants!$D$19*Constants!$C$20/100*(O4-25)</f>
        <v>83.226124789689919</v>
      </c>
      <c r="Q4" s="206">
        <f ca="1">(1-Constants!$C$17/1000000000*Design!$B$32*1000000) * ($C$2+C4-B4*P4/1000) - (C4+B4*Design!$B$40/1000)</f>
        <v>6.8951262410859853</v>
      </c>
      <c r="R4" s="206">
        <f ca="1">IF(Q4&gt;Design!$C$28,Design!$C$28,Q4)</f>
        <v>3.3239005736137672</v>
      </c>
      <c r="S4" s="206">
        <f t="shared" ref="S4:S17" ca="1" si="3">SUM(J4:M4)</f>
        <v>0.20265563276209123</v>
      </c>
      <c r="T4" s="206">
        <f t="shared" ref="T4:T17" ca="1" si="4">R4*B4</f>
        <v>0.83097514340344181</v>
      </c>
      <c r="U4" s="264">
        <f t="shared" ref="U4:U17" ca="1" si="5">100*T4/(T4+S4)</f>
        <v>80.393808172596778</v>
      </c>
      <c r="V4" s="218">
        <v>0.25</v>
      </c>
      <c r="W4" s="219">
        <f ca="1">FORECAST(V4, OFFSET(Design!$C$15:$C$17,MATCH(V4,Design!$B$15:$B$17,1)-1,0,2), OFFSET(Design!$B$15:$B$17,MATCH(V4,Design!$B$15:$B$17,1)-1,0,2))+(AH4-25)*Design!$B$18/1000</f>
        <v>0.3206752365028066</v>
      </c>
      <c r="X4" s="220">
        <f ca="1">IF(100*(Design!$C$28+W4+V4*IF(ISBLANK(Design!$B$40),Constants!$C$6,Design!$B$40)/1000*(1+Constants!$C$31/100*(AI4-25)))/($W$2+W4-V4*AJ4/1000)&gt;Design!$C$35,Design!$C$35,100*(Design!$C$28+W4+V4*IF(ISBLANK(Design!$B$40),Constants!$C$6,Design!$B$40)/1000*(1+Constants!$C$31/100*(AI4-25)))/($W$2+W4-V4*AJ4/1000))</f>
        <v>29.67356377454141</v>
      </c>
      <c r="Y4" s="221">
        <f ca="1">($W$2-V4*IF(ISBLANK(Design!$B$40),Constants!$C$6,Design!$B$40)/1000*(1+Constants!$C$31/100*(AI4-25))-Design!$C$28) / (IF(ISBLANK(Design!$B$39),Design!$B$38,Design!$B$39)/1000000) * X4/100/(IF(ISBLANK(Design!$B$32),Design!$B$31,Design!$B$32)*1000000)</f>
        <v>0.58476913822766796</v>
      </c>
      <c r="Z4" s="222">
        <f>$W$2*Constants!$C$18/1000+IF(ISBLANK(Design!$B$32),Design!$B$31,Design!$B$32)*1000000*Constants!$D$22/1000000000*($W$2-Constants!$C$21)</f>
        <v>0.10600000000000001</v>
      </c>
      <c r="AA4" s="222">
        <f>$W$2*V4*($W$2/(Constants!$C$23*1000000000)*IF(ISBLANK(Design!$B$32),Design!$B$31,Design!$B$32)*1000000/2+$W$2/(Constants!$C$24*1000000000)*IF(ISBLANK(Design!$B$32),Design!$B$31,Design!$B$32)*1000000/2)</f>
        <v>4.3533834586466161E-2</v>
      </c>
      <c r="AB4" s="222">
        <f t="shared" ref="AB4:AB17" ca="1" si="6">IF($D$86,1,X4/100*(V4^2+Y4^2/12)*AJ4/1000)</f>
        <v>2.2831975976063861E-3</v>
      </c>
      <c r="AC4" s="222">
        <f>Constants!$D$22/1000000000*Constants!$C$21*IF(ISBLANK(Design!$B$32),Design!$B$31,Design!$B$32)*1000000</f>
        <v>4.9999999999999996E-2</v>
      </c>
      <c r="AD4" s="222">
        <f t="shared" ref="AD4:AD17" ca="1" si="7">SUM(Z4:AC4)</f>
        <v>0.20181703218407257</v>
      </c>
      <c r="AE4" s="222">
        <f t="shared" ref="AE4:AE17" ca="1" si="8">V4*W4*(1-X4/100)</f>
        <v>5.6379866422496198E-2</v>
      </c>
      <c r="AF4" s="222">
        <f ca="1">V4^2*Design!$B$40/1000*(1+(AI4-25)*(Constants!$C$31/100))</f>
        <v>1.2837084898005447E-3</v>
      </c>
      <c r="AG4" s="222">
        <f>0.5*Snubber!$B$16/1000000000000*$W$2^2*Design!$B$32*1000000</f>
        <v>6.7680000000000004E-2</v>
      </c>
      <c r="AH4" s="223">
        <f ca="1">$A4+AE4*Design!$B$19</f>
        <v>28.213652386082284</v>
      </c>
      <c r="AI4" s="223">
        <f ca="1">AD4*Design!$C$12+$A4</f>
        <v>31.861779094258466</v>
      </c>
      <c r="AJ4" s="223">
        <f ca="1">Constants!$D$19+Constants!$D$19*Constants!$C$20/100*(AI4-25)</f>
        <v>84.557146282463592</v>
      </c>
      <c r="AK4" s="222">
        <f ca="1">(1-Constants!$C$17/1000000000*Design!$B$32*1000000) * ($W$2+W4-V4*AJ4/1000) - (W4+V4*Design!$B$40/1000)</f>
        <v>10.374921039938199</v>
      </c>
      <c r="AL4" s="222">
        <f ca="1">IF(AK4&gt;Design!$C$28,Design!$C$28,AK4)</f>
        <v>3.3239005736137672</v>
      </c>
      <c r="AM4" s="222">
        <f t="shared" ref="AM4:AM17" ca="1" si="9">SUM(AD4:AG4)</f>
        <v>0.32716060709636929</v>
      </c>
      <c r="AN4" s="222">
        <f t="shared" ref="AN4:AN17" ca="1" si="10">AL4*V4</f>
        <v>0.83097514340344181</v>
      </c>
      <c r="AO4" s="268">
        <f t="shared" ref="AO4:AO17" ca="1" si="11">100*AN4/(AN4+AM4)</f>
        <v>71.751100252696787</v>
      </c>
      <c r="AP4" s="232">
        <v>0.25</v>
      </c>
      <c r="AQ4" s="233">
        <f ca="1">FORECAST(AP4, OFFSET(Design!$C$15:$C$17,MATCH(AP4,Design!$B$15:$B$17,1)-1,0,2), OFFSET(Design!$B$15:$B$17,MATCH(AP4,Design!$B$15:$B$17,1)-1,0,2))+(BB4-25)*Design!$B$18/1000</f>
        <v>0.32034608196557068</v>
      </c>
      <c r="AR4" s="234">
        <f ca="1">IF(100*(Design!$C$28+AQ4+AP4*IF(ISBLANK(Design!$B$40),Constants!$C$6,Design!$B$40)/1000*(1+Constants!$C$31/100*(BC4-25)))/($AQ$2+AQ4-AP4*BD4/1000)&gt;Design!$C$35,Design!$C$35,100*(Design!$C$28+AQ4+AP4*IF(ISBLANK(Design!$B$40),Constants!$C$6,Design!$B$40)/1000*(1+Constants!$C$31/100*(BC4-25)))/($AQ$2+AQ4-AP4*BD4/1000))</f>
        <v>22.390800542626927</v>
      </c>
      <c r="AS4" s="235">
        <f ca="1">($AQ$2-AP4*IF(ISBLANK(Design!$B$40),Constants!$C$6,Design!$B$40)/1000*(1+Constants!$C$31/100*(BC4-25))-Design!$C$28) / (IF(ISBLANK(Design!$B$39),Design!$B$38,Design!$B$39)/1000000) * AR4/100/(IF(ISBLANK(Design!$B$32),Design!$B$31,Design!$B$32)*1000000)</f>
        <v>0.64479946050562342</v>
      </c>
      <c r="AT4" s="236">
        <f>$AQ$2*Constants!$C$18/1000+IF(ISBLANK(Design!$B$32),Design!$B$31,Design!$B$32)*1000000*Constants!$D$22/1000000000*($AQ$2-Constants!$C$21)</f>
        <v>0.158</v>
      </c>
      <c r="AU4" s="236">
        <f>$AQ$2*AP4*($AQ$2/(Constants!$C$23*1000000000)*IF(ISBLANK(Design!$B$32),Design!$B$31,Design!$B$32)*1000000/2+$AQ$2/(Constants!$C$24*1000000000)*IF(ISBLANK(Design!$B$32),Design!$B$31,Design!$B$32)*1000000/2)</f>
        <v>7.7393483709273181E-2</v>
      </c>
      <c r="AV4" s="236">
        <f t="shared" ref="AV4:AV17" ca="1" si="12">IF($D$86,1,AR4/100*(AP4^2+AS4^2/12)*BD4/1000)</f>
        <v>1.8720503125816159E-3</v>
      </c>
      <c r="AW4" s="236">
        <f>Constants!$D$22/1000000000*Constants!$C$21*IF(ISBLANK(Design!$B$32),Design!$B$31,Design!$B$32)*1000000</f>
        <v>4.9999999999999996E-2</v>
      </c>
      <c r="AX4" s="236">
        <f t="shared" ref="AX4:AX17" ca="1" si="13">SUM(AT4:AW4)</f>
        <v>0.28726553402185478</v>
      </c>
      <c r="AY4" s="236">
        <f t="shared" ref="AY4:AY17" ca="1" si="14">AP4*AQ4*(1-AR4/100)</f>
        <v>6.2154507426634899E-2</v>
      </c>
      <c r="AZ4" s="236">
        <f ca="1">AP4^2*Design!$B$40/1000*(1+(BC4-25)*(Constants!$C$31/100))</f>
        <v>1.2979805258200004E-3</v>
      </c>
      <c r="BA4" s="236">
        <f>0.5*Snubber!$B$16/1000000000000*$AQ$2^2*Design!$B$32*1000000</f>
        <v>0.12032000000000001</v>
      </c>
      <c r="BB4" s="237">
        <f ca="1">$A4+AY4*Design!$B$19</f>
        <v>28.542806923318189</v>
      </c>
      <c r="BC4" s="237">
        <f ca="1">AX4*Design!$C$12+$A4</f>
        <v>34.767028156743066</v>
      </c>
      <c r="BD4" s="237">
        <f ca="1">Constants!$D$19+Constants!$D$19*Constants!$C$20/100*(BC4-25)</f>
        <v>86.063227396455602</v>
      </c>
      <c r="BE4" s="236">
        <f ca="1">(1-Constants!$C$17/1000000000*Design!$B$32*1000000) * ($AQ$2+AQ4-AP4*BD4/1000) - (AQ4+AP4*Design!$B$40/1000)</f>
        <v>13.854636257385749</v>
      </c>
      <c r="BF4" s="236">
        <f ca="1">IF(BE4&gt;Design!$C$28,Design!$C$28,BE4)</f>
        <v>3.3239005736137672</v>
      </c>
      <c r="BG4" s="236">
        <f t="shared" ref="BG4:BG17" ca="1" si="15">SUM(AX4:BA4)</f>
        <v>0.47103802197430966</v>
      </c>
      <c r="BH4" s="236">
        <f t="shared" ref="BH4:BH17" ca="1" si="16">BF4*AP4</f>
        <v>0.83097514340344181</v>
      </c>
      <c r="BI4" s="271">
        <f t="shared" ref="BI4:BI17" ca="1" si="17">100*BH4/(BH4+BG4)</f>
        <v>63.822330334298265</v>
      </c>
    </row>
    <row r="5" spans="1:61" s="163" customFormat="1" ht="12.75">
      <c r="A5" s="155">
        <v>25</v>
      </c>
      <c r="B5" s="275">
        <f>B4+0.25</f>
        <v>0.5</v>
      </c>
      <c r="C5" s="157">
        <f ca="1">FORECAST(B5, OFFSET(Design!$C$15:$C$17,MATCH(B5,Design!$B$15:$B$17,1)-1,0,2), OFFSET(Design!$B$15:$B$17,MATCH(B5,Design!$B$15:$B$17,1)-1,0,2))+(N5-25)*Design!$B$18/1000</f>
        <v>0.337964699916186</v>
      </c>
      <c r="D5" s="216">
        <f ca="1">IF(100*(Design!$C$28+C5+B5*IF(ISBLANK(Design!$B$40),Constants!$C$6,Design!$B$40)/1000*(1+Constants!$C$31/100*(O5-25)))/($C$2+C5-B5*P5/1000)&gt;Design!$C$35,Design!$C$35,100*(Design!$C$28+C5+B5*IF(ISBLANK(Design!$B$40),Constants!$C$6,Design!$B$40)/1000*(1+Constants!$C$31/100*(O5-25)))/($C$2+C5-B5*P5/1000))</f>
        <v>44.262491791964251</v>
      </c>
      <c r="E5" s="158">
        <f ca="1">IF(($C$2-B5*IF(ISBLANK(Design!$B$40),Constants!$C$6,Design!$B$40)/1000*(1+Constants!$C$31/100*(O5-25))-Design!$C$28) / (IF(ISBLANK(Design!$B$39),Design!$B$38,Design!$B$39)/1000000) * D5/100/(IF(ISBLANK(Design!$B$32),Design!$B$31,Design!$B$32)*1000000)&lt;0,0,($C$2-B5*IF(ISBLANK(Design!$B$40),Constants!$C$6,Design!$B$40)/1000*(1+Constants!$C$31/100*(O5-25))-Design!$C$28) / (IF(ISBLANK(Design!$B$39),Design!$B$38,Design!$B$39)/1000000) * D5/100/(IF(ISBLANK(Design!$B$32),Design!$B$31,Design!$B$32)*1000000))</f>
        <v>0.46937309097150559</v>
      </c>
      <c r="F5" s="208">
        <f>$C$2*Constants!$C$18/1000+IF(ISBLANK(Design!$B$32),Design!$B$31,Design!$B$32)*1000000*Constants!$D$22/1000000000*($C$2-Constants!$C$21)</f>
        <v>5.3999999999999999E-2</v>
      </c>
      <c r="G5" s="208">
        <f>$C$2*B5*($C$2/(Constants!$C$23*1000000000)*IF(ISBLANK(Design!$B$32),Design!$B$31,Design!$B$32)*1000000/2+$C$2/(Constants!$C$24*1000000000)*IF(ISBLANK(Design!$B$32),Design!$B$31,Design!$B$32)*1000000/2)</f>
        <v>3.869674185463659E-2</v>
      </c>
      <c r="H5" s="208">
        <f t="shared" ca="1" si="0"/>
        <v>9.940946273804957E-3</v>
      </c>
      <c r="I5" s="208">
        <f>Constants!$D$22/1000000000*Constants!$C$21*IF(ISBLANK(Design!$B$32),Design!$B$31,Design!$B$32)*1000000</f>
        <v>4.9999999999999996E-2</v>
      </c>
      <c r="J5" s="208">
        <f t="shared" ca="1" si="1"/>
        <v>0.15263768812844153</v>
      </c>
      <c r="K5" s="208">
        <f t="shared" ca="1" si="2"/>
        <v>9.418655117802377E-2</v>
      </c>
      <c r="L5" s="208">
        <f ca="1">B5^2*Design!$B$40/1000*(1+(O5-25)*(Constants!$C$31/100))</f>
        <v>5.1019772394386119E-3</v>
      </c>
      <c r="M5" s="208">
        <f>0.5*Snubber!$B$16/1000000000000*$C$2^2*Design!$B$32*1000000</f>
        <v>3.0080000000000003E-2</v>
      </c>
      <c r="N5" s="209">
        <f ca="1">$A5+K5*Design!$B$19</f>
        <v>30.368633417147354</v>
      </c>
      <c r="O5" s="209">
        <f ca="1">J5*Design!$C$12+A5</f>
        <v>30.189681396367014</v>
      </c>
      <c r="P5" s="209">
        <f ca="1">Constants!$D$19+Constants!$D$19*Constants!$C$20/100*(O5-25)</f>
        <v>83.690330835876665</v>
      </c>
      <c r="Q5" s="208">
        <f ca="1">(1-Constants!$C$17/1000000000*Design!$B$32*1000000) * ($C$2+C5-B5*P5/1000) - (C5+B5*Design!$B$40/1000)</f>
        <v>6.869659295097291</v>
      </c>
      <c r="R5" s="208">
        <f ca="1">IF(Q5&gt;Design!$C$28,Design!$C$28,Q5)</f>
        <v>3.3239005736137672</v>
      </c>
      <c r="S5" s="208">
        <f t="shared" ca="1" si="3"/>
        <v>0.28200621654590391</v>
      </c>
      <c r="T5" s="208">
        <f t="shared" ca="1" si="4"/>
        <v>1.6619502868068836</v>
      </c>
      <c r="U5" s="265">
        <f t="shared" ca="1" si="5"/>
        <v>85.49318279192353</v>
      </c>
      <c r="V5" s="224">
        <f>V4+0.25</f>
        <v>0.5</v>
      </c>
      <c r="W5" s="159">
        <f ca="1">FORECAST(V5, OFFSET(Design!$C$15:$C$17,MATCH(V5,Design!$B$15:$B$17,1)-1,0,2), OFFSET(Design!$B$15:$B$17,MATCH(V5,Design!$B$15:$B$17,1)-1,0,2))+(AH5-25)*Design!$B$18/1000</f>
        <v>0.33660454914863097</v>
      </c>
      <c r="X5" s="225">
        <f ca="1">IF(100*(Design!$C$28+W5+V5*IF(ISBLANK(Design!$B$40),Constants!$C$6,Design!$B$40)/1000*(1+Constants!$C$31/100*(AI5-25)))/($W$2+W5-V5*AJ5/1000)&gt;Design!$C$35,Design!$C$35,100*(Design!$C$28+W5+V5*IF(ISBLANK(Design!$B$40),Constants!$C$6,Design!$B$40)/1000*(1+Constants!$C$31/100*(AI5-25)))/($W$2+W5-V5*AJ5/1000))</f>
        <v>29.85903152869718</v>
      </c>
      <c r="Y5" s="160">
        <f ca="1">($W$2-V5*IF(ISBLANK(Design!$B$40),Constants!$C$6,Design!$B$40)/1000*(1+Constants!$C$31/100*(AI5-25))-Design!$C$28) / (IF(ISBLANK(Design!$B$39),Design!$B$38,Design!$B$39)/1000000) * X5/100/(IF(ISBLANK(Design!$B$32),Design!$B$31,Design!$B$32)*1000000)</f>
        <v>0.5880712601874224</v>
      </c>
      <c r="Z5" s="226">
        <f>$W$2*Constants!$C$18/1000+IF(ISBLANK(Design!$B$32),Design!$B$31,Design!$B$32)*1000000*Constants!$D$22/1000000000*($W$2-Constants!$C$21)</f>
        <v>0.10600000000000001</v>
      </c>
      <c r="AA5" s="226">
        <f>$W$2*V5*($W$2/(Constants!$C$23*1000000000)*IF(ISBLANK(Design!$B$32),Design!$B$31,Design!$B$32)*1000000/2+$W$2/(Constants!$C$24*1000000000)*IF(ISBLANK(Design!$B$32),Design!$B$31,Design!$B$32)*1000000/2)</f>
        <v>8.7067669172932322E-2</v>
      </c>
      <c r="AB5" s="226">
        <f t="shared" ca="1" si="6"/>
        <v>7.1105705282261391E-3</v>
      </c>
      <c r="AC5" s="226">
        <f>Constants!$D$22/1000000000*Constants!$C$21*IF(ISBLANK(Design!$B$32),Design!$B$31,Design!$B$32)*1000000</f>
        <v>4.9999999999999996E-2</v>
      </c>
      <c r="AD5" s="226">
        <f t="shared" ca="1" si="7"/>
        <v>0.25017823970115849</v>
      </c>
      <c r="AE5" s="226">
        <f t="shared" ca="1" si="8"/>
        <v>0.11804884534565613</v>
      </c>
      <c r="AF5" s="226">
        <f ca="1">V5^2*Design!$B$40/1000*(1+(AI5-25)*(Constants!$C$31/100))</f>
        <v>5.1671440819443439E-3</v>
      </c>
      <c r="AG5" s="226">
        <f>0.5*Snubber!$B$16/1000000000000*$W$2^2*Design!$B$32*1000000</f>
        <v>6.7680000000000004E-2</v>
      </c>
      <c r="AH5" s="227">
        <f ca="1">$A5+AE5*Design!$B$19</f>
        <v>31.728784184702398</v>
      </c>
      <c r="AI5" s="227">
        <f ca="1">AD5*Design!$C$12+$A5</f>
        <v>33.506060149839385</v>
      </c>
      <c r="AJ5" s="227">
        <f ca="1">Constants!$D$19+Constants!$D$19*Constants!$C$20/100*(AI5-25)</f>
        <v>85.409541581676734</v>
      </c>
      <c r="AK5" s="226">
        <f ca="1">(1-Constants!$C$17/1000000000*Design!$B$32*1000000) * ($W$2+W5-V5*AJ5/1000) - (W5+V5*Design!$B$40/1000)</f>
        <v>10.349088258022649</v>
      </c>
      <c r="AL5" s="226">
        <f ca="1">IF(AK5&gt;Design!$C$28,Design!$C$28,AK5)</f>
        <v>3.3239005736137672</v>
      </c>
      <c r="AM5" s="226">
        <f t="shared" ca="1" si="9"/>
        <v>0.44107422912875899</v>
      </c>
      <c r="AN5" s="226">
        <f t="shared" ca="1" si="10"/>
        <v>1.6619502868068836</v>
      </c>
      <c r="AO5" s="269">
        <f t="shared" ca="1" si="11"/>
        <v>79.026672024670916</v>
      </c>
      <c r="AP5" s="238">
        <f>AP4+0.25</f>
        <v>0.5</v>
      </c>
      <c r="AQ5" s="161">
        <f ca="1">FORECAST(AP5, OFFSET(Design!$C$15:$C$17,MATCH(AP5,Design!$B$15:$B$17,1)-1,0,2), OFFSET(Design!$B$15:$B$17,MATCH(AP5,Design!$B$15:$B$17,1)-1,0,2))+(BB5-25)*Design!$B$18/1000</f>
        <v>0.33591646449780471</v>
      </c>
      <c r="AR5" s="239">
        <f ca="1">IF(100*(Design!$C$28+AQ5+AP5*IF(ISBLANK(Design!$B$40),Constants!$C$6,Design!$B$40)/1000*(1+Constants!$C$31/100*(BC5-25)))/($AQ$2+AQ5-AP5*BD5/1000)&gt;Design!$C$35,Design!$C$35,100*(Design!$C$28+AQ5+AP5*IF(ISBLANK(Design!$B$40),Constants!$C$6,Design!$B$40)/1000*(1+Constants!$C$31/100*(BC5-25)))/($AQ$2+AQ5-AP5*BD5/1000))</f>
        <v>22.528057038824635</v>
      </c>
      <c r="AS5" s="162">
        <f ca="1">($AQ$2-AP5*IF(ISBLANK(Design!$B$40),Constants!$C$6,Design!$B$40)/1000*(1+Constants!$C$31/100*(BC5-25))-Design!$C$28) / (IF(ISBLANK(Design!$B$39),Design!$B$38,Design!$B$39)/1000000) * AR5/100/(IF(ISBLANK(Design!$B$32),Design!$B$31,Design!$B$32)*1000000)</f>
        <v>0.6484807286436578</v>
      </c>
      <c r="AT5" s="240">
        <f>$AQ$2*Constants!$C$18/1000+IF(ISBLANK(Design!$B$32),Design!$B$31,Design!$B$32)*1000000*Constants!$D$22/1000000000*($AQ$2-Constants!$C$21)</f>
        <v>0.158</v>
      </c>
      <c r="AU5" s="240">
        <f>$AQ$2*AP5*($AQ$2/(Constants!$C$23*1000000000)*IF(ISBLANK(Design!$B$32),Design!$B$31,Design!$B$32)*1000000/2+$AQ$2/(Constants!$C$24*1000000000)*IF(ISBLANK(Design!$B$32),Design!$B$31,Design!$B$32)*1000000/2)</f>
        <v>0.15478696741854636</v>
      </c>
      <c r="AV5" s="240">
        <f t="shared" ca="1" si="12"/>
        <v>5.6183742777939664E-3</v>
      </c>
      <c r="AW5" s="240">
        <f>Constants!$D$22/1000000000*Constants!$C$21*IF(ISBLANK(Design!$B$32),Design!$B$31,Design!$B$32)*1000000</f>
        <v>4.9999999999999996E-2</v>
      </c>
      <c r="AX5" s="240">
        <f t="shared" ca="1" si="13"/>
        <v>0.36840534169634037</v>
      </c>
      <c r="AY5" s="240">
        <f t="shared" ca="1" si="14"/>
        <v>0.13012050588646809</v>
      </c>
      <c r="AZ5" s="240">
        <f ca="1">AP5^2*Design!$B$40/1000*(1+(BC5-25)*(Constants!$C$31/100))</f>
        <v>5.2461316087873255E-3</v>
      </c>
      <c r="BA5" s="240">
        <f>0.5*Snubber!$B$16/1000000000000*$AQ$2^2*Design!$B$32*1000000</f>
        <v>0.12032000000000001</v>
      </c>
      <c r="BB5" s="241">
        <f ca="1">$A5+AY5*Design!$B$19</f>
        <v>32.416868835528682</v>
      </c>
      <c r="BC5" s="241">
        <f ca="1">AX5*Design!$C$12+$A5</f>
        <v>37.525781617675577</v>
      </c>
      <c r="BD5" s="241">
        <f ca="1">Constants!$D$19+Constants!$D$19*Constants!$C$20/100*(BC5-25)</f>
        <v>87.493365190603015</v>
      </c>
      <c r="BE5" s="240">
        <f ca="1">(1-Constants!$C$17/1000000000*Design!$B$32*1000000) * ($AQ$2+AQ5-AP5*BD5/1000) - (AQ5+AP5*Design!$B$40/1000)</f>
        <v>13.828271245757371</v>
      </c>
      <c r="BF5" s="240">
        <f ca="1">IF(BE5&gt;Design!$C$28,Design!$C$28,BE5)</f>
        <v>3.3239005736137672</v>
      </c>
      <c r="BG5" s="240">
        <f t="shared" ca="1" si="15"/>
        <v>0.62409197919159576</v>
      </c>
      <c r="BH5" s="240">
        <f t="shared" ca="1" si="16"/>
        <v>1.6619502868068836</v>
      </c>
      <c r="BI5" s="272">
        <f t="shared" ca="1" si="17"/>
        <v>72.699893240206123</v>
      </c>
    </row>
    <row r="6" spans="1:61" s="163" customFormat="1" ht="12.75">
      <c r="A6" s="155">
        <v>25</v>
      </c>
      <c r="B6" s="275">
        <f t="shared" ref="B6:B17" si="18">B5+0.25</f>
        <v>0.75</v>
      </c>
      <c r="C6" s="157">
        <f ca="1">FORECAST(B6, OFFSET(Design!$C$15:$C$17,MATCH(B6,Design!$B$15:$B$17,1)-1,0,2), OFFSET(Design!$B$15:$B$17,MATCH(B6,Design!$B$15:$B$17,1)-1,0,2))+(N6-25)*Design!$B$18/1000</f>
        <v>0.354377161727781</v>
      </c>
      <c r="D6" s="216">
        <f ca="1">IF(100*(Design!$C$28+C6+B6*IF(ISBLANK(Design!$B$40),Constants!$C$6,Design!$B$40)/1000*(1+Constants!$C$31/100*(O6-25)))/($C$2+C6-B6*P6/1000)&gt;Design!$C$35,Design!$C$35,100*(Design!$C$28+C6+B6*IF(ISBLANK(Design!$B$40),Constants!$C$6,Design!$B$40)/1000*(1+Constants!$C$31/100*(O6-25)))/($C$2+C6-B6*P6/1000))</f>
        <v>44.549011669277604</v>
      </c>
      <c r="E6" s="158">
        <f ca="1">IF(($C$2-B6*IF(ISBLANK(Design!$B$40),Constants!$C$6,Design!$B$40)/1000*(1+Constants!$C$31/100*(O6-25))-Design!$C$28) / (IF(ISBLANK(Design!$B$39),Design!$B$38,Design!$B$39)/1000000) * D6/100/(IF(ISBLANK(Design!$B$32),Design!$B$31,Design!$B$32)*1000000)&lt;0,0,($C$2-B6*IF(ISBLANK(Design!$B$40),Constants!$C$6,Design!$B$40)/1000*(1+Constants!$C$31/100*(O6-25))-Design!$C$28) / (IF(ISBLANK(Design!$B$39),Design!$B$38,Design!$B$39)/1000000) * D6/100/(IF(ISBLANK(Design!$B$32),Design!$B$31,Design!$B$32)*1000000))</f>
        <v>0.47188853805067676</v>
      </c>
      <c r="F6" s="208">
        <f>$C$2*Constants!$C$18/1000+IF(ISBLANK(Design!$B$32),Design!$B$31,Design!$B$32)*1000000*Constants!$D$22/1000000000*($C$2-Constants!$C$21)</f>
        <v>5.3999999999999999E-2</v>
      </c>
      <c r="G6" s="208">
        <f>$C$2*B6*($C$2/(Constants!$C$23*1000000000)*IF(ISBLANK(Design!$B$32),Design!$B$31,Design!$B$32)*1000000/2+$C$2/(Constants!$C$24*1000000000)*IF(ISBLANK(Design!$B$32),Design!$B$31,Design!$B$32)*1000000/2)</f>
        <v>5.8045112781954886E-2</v>
      </c>
      <c r="H6" s="208">
        <f t="shared" ca="1" si="0"/>
        <v>2.1806067769417826E-2</v>
      </c>
      <c r="I6" s="208">
        <f>Constants!$D$22/1000000000*Constants!$C$21*IF(ISBLANK(Design!$B$32),Design!$B$31,Design!$B$32)*1000000</f>
        <v>4.9999999999999996E-2</v>
      </c>
      <c r="J6" s="208">
        <f t="shared" ca="1" si="1"/>
        <v>0.1838511805513727</v>
      </c>
      <c r="K6" s="208">
        <f t="shared" ca="1" si="2"/>
        <v>0.14737922894731281</v>
      </c>
      <c r="L6" s="208">
        <f ca="1">B6^2*Design!$B$40/1000*(1+(O6-25)*(Constants!$C$31/100))</f>
        <v>1.1526369690884337E-2</v>
      </c>
      <c r="M6" s="208">
        <f>0.5*Snubber!$B$16/1000000000000*$C$2^2*Design!$B$32*1000000</f>
        <v>3.0080000000000003E-2</v>
      </c>
      <c r="N6" s="209">
        <f ca="1">$A6+K6*Design!$B$19</f>
        <v>33.400616049996827</v>
      </c>
      <c r="O6" s="209">
        <f ca="1">J6*Design!$C$12+A6</f>
        <v>31.250940138746671</v>
      </c>
      <c r="P6" s="209">
        <f ca="1">Constants!$D$19+Constants!$D$19*Constants!$C$20/100*(O6-25)</f>
        <v>84.240487367926278</v>
      </c>
      <c r="Q6" s="208">
        <f ca="1">(1-Constants!$C$17/1000000000*Design!$B$32*1000000) * ($C$2+C6-B6*P6/1000) - (C6+B6*Design!$B$40/1000)</f>
        <v>6.8439640509678163</v>
      </c>
      <c r="R6" s="208">
        <f ca="1">IF(Q6&gt;Design!$C$28,Design!$C$28,Q6)</f>
        <v>3.3239005736137672</v>
      </c>
      <c r="S6" s="208">
        <f t="shared" ca="1" si="3"/>
        <v>0.37283677918956987</v>
      </c>
      <c r="T6" s="208">
        <f t="shared" ca="1" si="4"/>
        <v>2.4929254302103256</v>
      </c>
      <c r="U6" s="265">
        <f t="shared" ca="1" si="5"/>
        <v>86.98996106632157</v>
      </c>
      <c r="V6" s="224">
        <f t="shared" ref="V6:V17" si="19">V5+0.25</f>
        <v>0.75</v>
      </c>
      <c r="W6" s="159">
        <f ca="1">FORECAST(V6, OFFSET(Design!$C$15:$C$17,MATCH(V6,Design!$B$15:$B$17,1)-1,0,2), OFFSET(Design!$B$15:$B$17,MATCH(V6,Design!$B$15:$B$17,1)-1,0,2))+(AH6-25)*Design!$B$18/1000</f>
        <v>0.3522436260198506</v>
      </c>
      <c r="X6" s="225">
        <f ca="1">IF(100*(Design!$C$28+W6+V6*IF(ISBLANK(Design!$B$40),Constants!$C$6,Design!$B$40)/1000*(1+Constants!$C$31/100*(AI6-25)))/($W$2+W6-V6*AJ6/1000)&gt;Design!$C$35,Design!$C$35,100*(Design!$C$28+W6+V6*IF(ISBLANK(Design!$B$40),Constants!$C$6,Design!$B$40)/1000*(1+Constants!$C$31/100*(AI6-25)))/($W$2+W6-V6*AJ6/1000))</f>
        <v>30.044750730480587</v>
      </c>
      <c r="Y6" s="160">
        <f ca="1">($W$2-V6*IF(ISBLANK(Design!$B$40),Constants!$C$6,Design!$B$40)/1000*(1+Constants!$C$31/100*(AI6-25))-Design!$C$28) / (IF(ISBLANK(Design!$B$39),Design!$B$38,Design!$B$39)/1000000) * X6/100/(IF(ISBLANK(Design!$B$32),Design!$B$31,Design!$B$32)*1000000)</f>
        <v>0.59136906938628808</v>
      </c>
      <c r="Z6" s="226">
        <f>$W$2*Constants!$C$18/1000+IF(ISBLANK(Design!$B$32),Design!$B$31,Design!$B$32)*1000000*Constants!$D$22/1000000000*($W$2-Constants!$C$21)</f>
        <v>0.10600000000000001</v>
      </c>
      <c r="AA6" s="226">
        <f>$W$2*V6*($W$2/(Constants!$C$23*1000000000)*IF(ISBLANK(Design!$B$32),Design!$B$31,Design!$B$32)*1000000/2+$W$2/(Constants!$C$24*1000000000)*IF(ISBLANK(Design!$B$32),Design!$B$31,Design!$B$32)*1000000/2)</f>
        <v>0.1306015037593985</v>
      </c>
      <c r="AB6" s="226">
        <f t="shared" ca="1" si="6"/>
        <v>1.5344396122560739E-2</v>
      </c>
      <c r="AC6" s="226">
        <f>Constants!$D$22/1000000000*Constants!$C$21*IF(ISBLANK(Design!$B$32),Design!$B$31,Design!$B$32)*1000000</f>
        <v>4.9999999999999996E-2</v>
      </c>
      <c r="AD6" s="226">
        <f t="shared" ca="1" si="7"/>
        <v>0.30194589988195925</v>
      </c>
      <c r="AE6" s="226">
        <f t="shared" ca="1" si="8"/>
        <v>0.18480967996363515</v>
      </c>
      <c r="AF6" s="226">
        <f ca="1">V6^2*Design!$B$40/1000*(1+(AI6-25)*(Constants!$C$31/100))</f>
        <v>1.1703892625350057E-2</v>
      </c>
      <c r="AG6" s="226">
        <f>0.5*Snubber!$B$16/1000000000000*$W$2^2*Design!$B$32*1000000</f>
        <v>6.7680000000000004E-2</v>
      </c>
      <c r="AH6" s="227">
        <f ca="1">$A6+AE6*Design!$B$19</f>
        <v>35.534151757927205</v>
      </c>
      <c r="AI6" s="227">
        <f ca="1">AD6*Design!$C$12+$A6</f>
        <v>35.266160595986612</v>
      </c>
      <c r="AJ6" s="227">
        <f ca="1">Constants!$D$19+Constants!$D$19*Constants!$C$20/100*(AI6-25)</f>
        <v>86.321977652959461</v>
      </c>
      <c r="AK6" s="226">
        <f ca="1">(1-Constants!$C$17/1000000000*Design!$B$32*1000000) * ($W$2+W6-V6*AJ6/1000) - (W6+V6*Design!$B$40/1000)</f>
        <v>10.322883238198862</v>
      </c>
      <c r="AL6" s="226">
        <f ca="1">IF(AK6&gt;Design!$C$28,Design!$C$28,AK6)</f>
        <v>3.3239005736137672</v>
      </c>
      <c r="AM6" s="226">
        <f t="shared" ca="1" si="9"/>
        <v>0.56613947247094443</v>
      </c>
      <c r="AN6" s="226">
        <f t="shared" ca="1" si="10"/>
        <v>2.4929254302103256</v>
      </c>
      <c r="AO6" s="269">
        <f t="shared" ca="1" si="11"/>
        <v>81.493054561388249</v>
      </c>
      <c r="AP6" s="238">
        <f t="shared" ref="AP6:AP17" si="20">AP5+0.25</f>
        <v>0.75</v>
      </c>
      <c r="AQ6" s="161">
        <f ca="1">FORECAST(AP6, OFFSET(Design!$C$15:$C$17,MATCH(AP6,Design!$B$15:$B$17,1)-1,0,2), OFFSET(Design!$B$15:$B$17,MATCH(AP6,Design!$B$15:$B$17,1)-1,0,2))+(BB6-25)*Design!$B$18/1000</f>
        <v>0.35116801150379151</v>
      </c>
      <c r="AR6" s="239">
        <f ca="1">IF(100*(Design!$C$28+AQ6+AP6*IF(ISBLANK(Design!$B$40),Constants!$C$6,Design!$B$40)/1000*(1+Constants!$C$31/100*(BC6-25)))/($AQ$2+AQ6-AP6*BD6/1000)&gt;Design!$C$35,Design!$C$35,100*(Design!$C$28+AQ6+AP6*IF(ISBLANK(Design!$B$40),Constants!$C$6,Design!$B$40)/1000*(1+Constants!$C$31/100*(BC6-25)))/($AQ$2+AQ6-AP6*BD6/1000))</f>
        <v>22.665655413686562</v>
      </c>
      <c r="AS6" s="162">
        <f ca="1">($AQ$2-AP6*IF(ISBLANK(Design!$B$40),Constants!$C$6,Design!$B$40)/1000*(1+Constants!$C$31/100*(BC6-25))-Design!$C$28) / (IF(ISBLANK(Design!$B$39),Design!$B$38,Design!$B$39)/1000000) * AR6/100/(IF(ISBLANK(Design!$B$32),Design!$B$31,Design!$B$32)*1000000)</f>
        <v>0.65216266390328814</v>
      </c>
      <c r="AT6" s="240">
        <f>$AQ$2*Constants!$C$18/1000+IF(ISBLANK(Design!$B$32),Design!$B$31,Design!$B$32)*1000000*Constants!$D$22/1000000000*($AQ$2-Constants!$C$21)</f>
        <v>0.158</v>
      </c>
      <c r="AU6" s="240">
        <f>$AQ$2*AP6*($AQ$2/(Constants!$C$23*1000000000)*IF(ISBLANK(Design!$B$32),Design!$B$31,Design!$B$32)*1000000/2+$AQ$2/(Constants!$C$24*1000000000)*IF(ISBLANK(Design!$B$32),Design!$B$31,Design!$B$32)*1000000/2)</f>
        <v>0.23218045112781954</v>
      </c>
      <c r="AV6" s="240">
        <f t="shared" ca="1" si="12"/>
        <v>1.2058031786060307E-2</v>
      </c>
      <c r="AW6" s="240">
        <f>Constants!$D$22/1000000000*Constants!$C$21*IF(ISBLANK(Design!$B$32),Design!$B$31,Design!$B$32)*1000000</f>
        <v>4.9999999999999996E-2</v>
      </c>
      <c r="AX6" s="240">
        <f t="shared" ca="1" si="13"/>
        <v>0.4522384829138798</v>
      </c>
      <c r="AY6" s="240">
        <f t="shared" ca="1" si="14"/>
        <v>0.20368011006993519</v>
      </c>
      <c r="AZ6" s="240">
        <f ca="1">AP6^2*Design!$B$40/1000*(1+(BC6-25)*(Constants!$C$31/100))</f>
        <v>1.1929816193478217E-2</v>
      </c>
      <c r="BA6" s="240">
        <f>0.5*Snubber!$B$16/1000000000000*$AQ$2^2*Design!$B$32*1000000</f>
        <v>0.12032000000000001</v>
      </c>
      <c r="BB6" s="241">
        <f ca="1">$A6+AY6*Design!$B$19</f>
        <v>36.60976627398631</v>
      </c>
      <c r="BC6" s="241">
        <f ca="1">AX6*Design!$C$12+$A6</f>
        <v>40.376108419071912</v>
      </c>
      <c r="BD6" s="241">
        <f ca="1">Constants!$D$19+Constants!$D$19*Constants!$C$20/100*(BC6-25)</f>
        <v>88.97097460444688</v>
      </c>
      <c r="BE6" s="240">
        <f ca="1">(1-Constants!$C$17/1000000000*Design!$B$32*1000000) * ($AQ$2+AQ6-AP6*BD6/1000) - (AQ6+AP6*Design!$B$40/1000)</f>
        <v>13.801294597575106</v>
      </c>
      <c r="BF6" s="240">
        <f ca="1">IF(BE6&gt;Design!$C$28,Design!$C$28,BE6)</f>
        <v>3.3239005736137672</v>
      </c>
      <c r="BG6" s="240">
        <f t="shared" ca="1" si="15"/>
        <v>0.78816840917729314</v>
      </c>
      <c r="BH6" s="240">
        <f t="shared" ca="1" si="16"/>
        <v>2.4929254302103256</v>
      </c>
      <c r="BI6" s="272">
        <f t="shared" ca="1" si="17"/>
        <v>75.978486207380271</v>
      </c>
    </row>
    <row r="7" spans="1:61" s="163" customFormat="1" ht="12.75">
      <c r="A7" s="155">
        <v>25</v>
      </c>
      <c r="B7" s="275">
        <f t="shared" si="18"/>
        <v>1</v>
      </c>
      <c r="C7" s="157">
        <f ca="1">FORECAST(B7, OFFSET(Design!$C$15:$C$17,MATCH(B7,Design!$B$15:$B$17,1)-1,0,2), OFFSET(Design!$B$15:$B$17,MATCH(B7,Design!$B$15:$B$17,1)-1,0,2))+(N7-25)*Design!$B$18/1000</f>
        <v>0.37057042152148495</v>
      </c>
      <c r="D7" s="216">
        <f ca="1">IF(100*(Design!$C$28+C7+B7*IF(ISBLANK(Design!$B$40),Constants!$C$6,Design!$B$40)/1000*(1+Constants!$C$31/100*(O7-25)))/($C$2+C7-B7*P7/1000)&gt;Design!$C$35,Design!$C$35,100*(Design!$C$28+C7+B7*IF(ISBLANK(Design!$B$40),Constants!$C$6,Design!$B$40)/1000*(1+Constants!$C$31/100*(O7-25)))/($C$2+C7-B7*P7/1000))</f>
        <v>44.837055447115965</v>
      </c>
      <c r="E7" s="158">
        <f ca="1">IF(($C$2-B7*IF(ISBLANK(Design!$B$40),Constants!$C$6,Design!$B$40)/1000*(1+Constants!$C$31/100*(O7-25))-Design!$C$28) / (IF(ISBLANK(Design!$B$39),Design!$B$38,Design!$B$39)/1000000) * D7/100/(IF(ISBLANK(Design!$B$32),Design!$B$31,Design!$B$32)*1000000)&lt;0,0,($C$2-B7*IF(ISBLANK(Design!$B$40),Constants!$C$6,Design!$B$40)/1000*(1+Constants!$C$31/100*(O7-25))-Design!$C$28) / (IF(ISBLANK(Design!$B$39),Design!$B$38,Design!$B$39)/1000000) * D7/100/(IF(ISBLANK(Design!$B$32),Design!$B$31,Design!$B$32)*1000000))</f>
        <v>0.47440774407385744</v>
      </c>
      <c r="F7" s="208">
        <f>$C$2*Constants!$C$18/1000+IF(ISBLANK(Design!$B$32),Design!$B$31,Design!$B$32)*1000000*Constants!$D$22/1000000000*($C$2-Constants!$C$21)</f>
        <v>5.3999999999999999E-2</v>
      </c>
      <c r="G7" s="208">
        <f>$C$2*B7*($C$2/(Constants!$C$23*1000000000)*IF(ISBLANK(Design!$B$32),Design!$B$31,Design!$B$32)*1000000/2+$C$2/(Constants!$C$24*1000000000)*IF(ISBLANK(Design!$B$32),Design!$B$31,Design!$B$32)*1000000/2)</f>
        <v>7.7393483709273181E-2</v>
      </c>
      <c r="H7" s="208">
        <f t="shared" ca="1" si="0"/>
        <v>3.8771721693757241E-2</v>
      </c>
      <c r="I7" s="208">
        <f>Constants!$D$22/1000000000*Constants!$C$21*IF(ISBLANK(Design!$B$32),Design!$B$31,Design!$B$32)*1000000</f>
        <v>4.9999999999999996E-2</v>
      </c>
      <c r="J7" s="208">
        <f t="shared" ca="1" si="1"/>
        <v>0.22016520540303042</v>
      </c>
      <c r="K7" s="208">
        <f t="shared" ca="1" si="2"/>
        <v>0.20441755615328541</v>
      </c>
      <c r="L7" s="208">
        <f ca="1">B7^2*Design!$B$40/1000*(1+(O7-25)*(Constants!$C$31/100))</f>
        <v>2.0588369494919059E-2</v>
      </c>
      <c r="M7" s="208">
        <f>0.5*Snubber!$B$16/1000000000000*$C$2^2*Design!$B$32*1000000</f>
        <v>3.0080000000000003E-2</v>
      </c>
      <c r="N7" s="209">
        <f ca="1">$A7+K7*Design!$B$19</f>
        <v>36.651800700737269</v>
      </c>
      <c r="O7" s="209">
        <f ca="1">J7*Design!$C$12+A7</f>
        <v>32.485616983703032</v>
      </c>
      <c r="P7" s="209">
        <f ca="1">Constants!$D$19+Constants!$D$19*Constants!$C$20/100*(O7-25)</f>
        <v>84.880543844351649</v>
      </c>
      <c r="Q7" s="208">
        <f ca="1">(1-Constants!$C$17/1000000000*Design!$B$32*1000000) * ($C$2+C7-B7*P7/1000) - (C7+B7*Design!$B$40/1000)</f>
        <v>6.8179797720576216</v>
      </c>
      <c r="R7" s="208">
        <f ca="1">IF(Q7&gt;Design!$C$28,Design!$C$28,Q7)</f>
        <v>3.3239005736137672</v>
      </c>
      <c r="S7" s="208">
        <f t="shared" ca="1" si="3"/>
        <v>0.47525113105123484</v>
      </c>
      <c r="T7" s="208">
        <f t="shared" ca="1" si="4"/>
        <v>3.3239005736137672</v>
      </c>
      <c r="U7" s="265">
        <f t="shared" ca="1" si="5"/>
        <v>87.490598744249382</v>
      </c>
      <c r="V7" s="224">
        <f t="shared" si="19"/>
        <v>1</v>
      </c>
      <c r="W7" s="159">
        <f ca="1">FORECAST(V7, OFFSET(Design!$C$15:$C$17,MATCH(V7,Design!$B$15:$B$17,1)-1,0,2), OFFSET(Design!$B$15:$B$17,MATCH(V7,Design!$B$15:$B$17,1)-1,0,2))+(AH7-25)*Design!$B$18/1000</f>
        <v>0.36760325388360182</v>
      </c>
      <c r="X7" s="225">
        <f ca="1">IF(100*(Design!$C$28+W7+V7*IF(ISBLANK(Design!$B$40),Constants!$C$6,Design!$B$40)/1000*(1+Constants!$C$31/100*(AI7-25)))/($W$2+W7-V7*AJ7/1000)&gt;Design!$C$35,Design!$C$35,100*(Design!$C$28+W7+V7*IF(ISBLANK(Design!$B$40),Constants!$C$6,Design!$B$40)/1000*(1+Constants!$C$31/100*(AI7-25)))/($W$2+W7-V7*AJ7/1000))</f>
        <v>30.230996043104604</v>
      </c>
      <c r="Y7" s="160">
        <f ca="1">($W$2-V7*IF(ISBLANK(Design!$B$40),Constants!$C$6,Design!$B$40)/1000*(1+Constants!$C$31/100*(AI7-25))-Design!$C$28) / (IF(ISBLANK(Design!$B$39),Design!$B$38,Design!$B$39)/1000000) * X7/100/(IF(ISBLANK(Design!$B$32),Design!$B$31,Design!$B$32)*1000000)</f>
        <v>0.59466736627545191</v>
      </c>
      <c r="Z7" s="226">
        <f>$W$2*Constants!$C$18/1000+IF(ISBLANK(Design!$B$32),Design!$B$31,Design!$B$32)*1000000*Constants!$D$22/1000000000*($W$2-Constants!$C$21)</f>
        <v>0.10600000000000001</v>
      </c>
      <c r="AA7" s="226">
        <f>$W$2*V7*($W$2/(Constants!$C$23*1000000000)*IF(ISBLANK(Design!$B$32),Design!$B$31,Design!$B$32)*1000000/2+$W$2/(Constants!$C$24*1000000000)*IF(ISBLANK(Design!$B$32),Design!$B$31,Design!$B$32)*1000000/2)</f>
        <v>0.17413533834586464</v>
      </c>
      <c r="AB7" s="226">
        <f t="shared" ca="1" si="6"/>
        <v>2.7168681660157908E-2</v>
      </c>
      <c r="AC7" s="226">
        <f>Constants!$D$22/1000000000*Constants!$C$21*IF(ISBLANK(Design!$B$32),Design!$B$31,Design!$B$32)*1000000</f>
        <v>4.9999999999999996E-2</v>
      </c>
      <c r="AD7" s="226">
        <f t="shared" ca="1" si="7"/>
        <v>0.35730402000602257</v>
      </c>
      <c r="AE7" s="226">
        <f t="shared" ca="1" si="8"/>
        <v>0.25647312874772643</v>
      </c>
      <c r="AF7" s="226">
        <f ca="1">V7^2*Design!$B$40/1000*(1+(AI7-25)*(Constants!$C$31/100))</f>
        <v>2.0954859263064094E-2</v>
      </c>
      <c r="AG7" s="226">
        <f>0.5*Snubber!$B$16/1000000000000*$W$2^2*Design!$B$32*1000000</f>
        <v>6.7680000000000004E-2</v>
      </c>
      <c r="AH7" s="227">
        <f ca="1">$A7+AE7*Design!$B$19</f>
        <v>39.618968338620405</v>
      </c>
      <c r="AI7" s="227">
        <f ca="1">AD7*Design!$C$12+$A7</f>
        <v>37.148336680204764</v>
      </c>
      <c r="AJ7" s="227">
        <f ca="1">Constants!$D$19+Constants!$D$19*Constants!$C$20/100*(AI7-25)</f>
        <v>87.297697735018147</v>
      </c>
      <c r="AK7" s="226">
        <f ca="1">(1-Constants!$C$17/1000000000*Design!$B$32*1000000) * ($W$2+W7-V7*AJ7/1000) - (W7+V7*Design!$B$40/1000)</f>
        <v>10.296262579965665</v>
      </c>
      <c r="AL7" s="226">
        <f ca="1">IF(AK7&gt;Design!$C$28,Design!$C$28,AK7)</f>
        <v>3.3239005736137672</v>
      </c>
      <c r="AM7" s="226">
        <f t="shared" ca="1" si="9"/>
        <v>0.70241200801681303</v>
      </c>
      <c r="AN7" s="226">
        <f t="shared" ca="1" si="10"/>
        <v>3.3239005736137672</v>
      </c>
      <c r="AO7" s="269">
        <f t="shared" ca="1" si="11"/>
        <v>82.554459104306559</v>
      </c>
      <c r="AP7" s="238">
        <f t="shared" si="20"/>
        <v>1</v>
      </c>
      <c r="AQ7" s="161">
        <f ca="1">FORECAST(AP7, OFFSET(Design!$C$15:$C$17,MATCH(AP7,Design!$B$15:$B$17,1)-1,0,2), OFFSET(Design!$B$15:$B$17,MATCH(AP7,Design!$B$15:$B$17,1)-1,0,2))+(BB7-25)*Design!$B$18/1000</f>
        <v>0.36611259058136064</v>
      </c>
      <c r="AR7" s="239">
        <f ca="1">IF(100*(Design!$C$28+AQ7+AP7*IF(ISBLANK(Design!$B$40),Constants!$C$6,Design!$B$40)/1000*(1+Constants!$C$31/100*(BC7-25)))/($AQ$2+AQ7-AP7*BD7/1000)&gt;Design!$C$35,Design!$C$35,100*(Design!$C$28+AQ7+AP7*IF(ISBLANK(Design!$B$40),Constants!$C$6,Design!$B$40)/1000*(1+Constants!$C$31/100*(BC7-25)))/($AQ$2+AQ7-AP7*BD7/1000))</f>
        <v>22.803770267076676</v>
      </c>
      <c r="AS7" s="162">
        <f ca="1">($AQ$2-AP7*IF(ISBLANK(Design!$B$40),Constants!$C$6,Design!$B$40)/1000*(1+Constants!$C$31/100*(BC7-25))-Design!$C$28) / (IF(ISBLANK(Design!$B$39),Design!$B$38,Design!$B$39)/1000000) * AR7/100/(IF(ISBLANK(Design!$B$32),Design!$B$31,Design!$B$32)*1000000)</f>
        <v>0.65584986294939884</v>
      </c>
      <c r="AT7" s="240">
        <f>$AQ$2*Constants!$C$18/1000+IF(ISBLANK(Design!$B$32),Design!$B$31,Design!$B$32)*1000000*Constants!$D$22/1000000000*($AQ$2-Constants!$C$21)</f>
        <v>0.158</v>
      </c>
      <c r="AU7" s="240">
        <f>$AQ$2*AP7*($AQ$2/(Constants!$C$23*1000000000)*IF(ISBLANK(Design!$B$32),Design!$B$31,Design!$B$32)*1000000/2+$AQ$2/(Constants!$C$24*1000000000)*IF(ISBLANK(Design!$B$32),Design!$B$31,Design!$B$32)*1000000/2)</f>
        <v>0.30957393483709272</v>
      </c>
      <c r="AV7" s="240">
        <f t="shared" ca="1" si="12"/>
        <v>2.1377001074139375E-2</v>
      </c>
      <c r="AW7" s="240">
        <f>Constants!$D$22/1000000000*Constants!$C$21*IF(ISBLANK(Design!$B$32),Design!$B$31,Design!$B$32)*1000000</f>
        <v>4.9999999999999996E-2</v>
      </c>
      <c r="AX7" s="240">
        <f t="shared" ca="1" si="13"/>
        <v>0.53895093591123211</v>
      </c>
      <c r="AY7" s="240">
        <f t="shared" ca="1" si="14"/>
        <v>0.2826251165063442</v>
      </c>
      <c r="AZ7" s="240">
        <f ca="1">AP7^2*Design!$B$40/1000*(1+(BC7-25)*(Constants!$C$31/100))</f>
        <v>2.1440292481129174E-2</v>
      </c>
      <c r="BA7" s="240">
        <f>0.5*Snubber!$B$16/1000000000000*$AQ$2^2*Design!$B$32*1000000</f>
        <v>0.12032000000000001</v>
      </c>
      <c r="BB7" s="241">
        <f ca="1">$A7+AY7*Design!$B$19</f>
        <v>41.109631640861622</v>
      </c>
      <c r="BC7" s="241">
        <f ca="1">AX7*Design!$C$12+$A7</f>
        <v>43.324331820981897</v>
      </c>
      <c r="BD7" s="241">
        <f ca="1">Constants!$D$19+Constants!$D$19*Constants!$C$20/100*(BC7-25)</f>
        <v>90.499333615997017</v>
      </c>
      <c r="BE7" s="240">
        <f ca="1">(1-Constants!$C$17/1000000000*Design!$B$32*1000000) * ($AQ$2+AQ7-AP7*BD7/1000) - (AQ7+AP7*Design!$B$40/1000)</f>
        <v>13.773670942978503</v>
      </c>
      <c r="BF7" s="240">
        <f ca="1">IF(BE7&gt;Design!$C$28,Design!$C$28,BE7)</f>
        <v>3.3239005736137672</v>
      </c>
      <c r="BG7" s="240">
        <f t="shared" ca="1" si="15"/>
        <v>0.96333634489870557</v>
      </c>
      <c r="BH7" s="240">
        <f t="shared" ca="1" si="16"/>
        <v>3.3239005736137672</v>
      </c>
      <c r="BI7" s="272">
        <f t="shared" ca="1" si="17"/>
        <v>77.530135068137284</v>
      </c>
    </row>
    <row r="8" spans="1:61" s="163" customFormat="1" ht="12.75">
      <c r="A8" s="155">
        <v>25</v>
      </c>
      <c r="B8" s="275">
        <f t="shared" si="18"/>
        <v>1.25</v>
      </c>
      <c r="C8" s="157">
        <f ca="1">FORECAST(B8, OFFSET(Design!$C$15:$C$17,MATCH(B8,Design!$B$15:$B$17,1)-1,0,2), OFFSET(Design!$B$15:$B$17,MATCH(B8,Design!$B$15:$B$17,1)-1,0,2))+(N8-25)*Design!$B$18/1000</f>
        <v>0.38655365114554507</v>
      </c>
      <c r="D8" s="216">
        <f ca="1">IF(100*(Design!$C$28+C8+B8*IF(ISBLANK(Design!$B$40),Constants!$C$6,Design!$B$40)/1000*(1+Constants!$C$31/100*(O8-25)))/($C$2+C8-B8*P8/1000)&gt;Design!$C$35,Design!$C$35,100*(Design!$C$28+C8+B8*IF(ISBLANK(Design!$B$40),Constants!$C$6,Design!$B$40)/1000*(1+Constants!$C$31/100*(O8-25)))/($C$2+C8-B8*P8/1000))</f>
        <v>45.12728106086545</v>
      </c>
      <c r="E8" s="158">
        <f ca="1">IF(($C$2-B8*IF(ISBLANK(Design!$B$40),Constants!$C$6,Design!$B$40)/1000*(1+Constants!$C$31/100*(O8-25))-Design!$C$28) / (IF(ISBLANK(Design!$B$39),Design!$B$38,Design!$B$39)/1000000) * D8/100/(IF(ISBLANK(Design!$B$32),Design!$B$31,Design!$B$32)*1000000)&lt;0,0,($C$2-B8*IF(ISBLANK(Design!$B$40),Constants!$C$6,Design!$B$40)/1000*(1+Constants!$C$31/100*(O8-25))-Design!$C$28) / (IF(ISBLANK(Design!$B$39),Design!$B$38,Design!$B$39)/1000000) * D8/100/(IF(ISBLANK(Design!$B$32),Design!$B$31,Design!$B$32)*1000000))</f>
        <v>0.47693636110605298</v>
      </c>
      <c r="F8" s="208">
        <f>$C$2*Constants!$C$18/1000+IF(ISBLANK(Design!$B$32),Design!$B$31,Design!$B$32)*1000000*Constants!$D$22/1000000000*($C$2-Constants!$C$21)</f>
        <v>5.3999999999999999E-2</v>
      </c>
      <c r="G8" s="208">
        <f>$C$2*B8*($C$2/(Constants!$C$23*1000000000)*IF(ISBLANK(Design!$B$32),Design!$B$31,Design!$B$32)*1000000/2+$C$2/(Constants!$C$24*1000000000)*IF(ISBLANK(Design!$B$32),Design!$B$31,Design!$B$32)*1000000/2)</f>
        <v>9.6741854636591476E-2</v>
      </c>
      <c r="H8" s="208">
        <f t="shared" ca="1" si="0"/>
        <v>6.1100777197611915E-2</v>
      </c>
      <c r="I8" s="208">
        <f>Constants!$D$22/1000000000*Constants!$C$21*IF(ISBLANK(Design!$B$32),Design!$B$31,Design!$B$32)*1000000</f>
        <v>4.9999999999999996E-2</v>
      </c>
      <c r="J8" s="208">
        <f t="shared" ca="1" si="1"/>
        <v>0.26184263183420342</v>
      </c>
      <c r="K8" s="208">
        <f t="shared" ca="1" si="2"/>
        <v>0.26514062317757203</v>
      </c>
      <c r="L8" s="208">
        <f ca="1">B8^2*Design!$B$40/1000*(1+(O8-25)*(Constants!$C$31/100))</f>
        <v>3.2343356639552699E-2</v>
      </c>
      <c r="M8" s="208">
        <f>0.5*Snubber!$B$16/1000000000000*$C$2^2*Design!$B$32*1000000</f>
        <v>3.0080000000000003E-2</v>
      </c>
      <c r="N8" s="209">
        <f ca="1">$A8+K8*Design!$B$19</f>
        <v>40.113015521121604</v>
      </c>
      <c r="O8" s="209">
        <f ca="1">J8*Design!$C$12+A8</f>
        <v>33.902649482362918</v>
      </c>
      <c r="P8" s="209">
        <f ca="1">Constants!$D$19+Constants!$D$19*Constants!$C$20/100*(O8-25)</f>
        <v>85.615133491656934</v>
      </c>
      <c r="Q8" s="208">
        <f ca="1">(1-Constants!$C$17/1000000000*Design!$B$32*1000000) * ($C$2+C8-B8*P8/1000) - (C8+B8*Design!$B$40/1000)</f>
        <v>6.7916415676789024</v>
      </c>
      <c r="R8" s="208">
        <f ca="1">IF(Q8&gt;Design!$C$28,Design!$C$28,Q8)</f>
        <v>3.3239005736137672</v>
      </c>
      <c r="S8" s="208">
        <f t="shared" ca="1" si="3"/>
        <v>0.58940661165132813</v>
      </c>
      <c r="T8" s="208">
        <f t="shared" ca="1" si="4"/>
        <v>4.1548757170172088</v>
      </c>
      <c r="U8" s="265">
        <f t="shared" ca="1" si="5"/>
        <v>87.576485318133606</v>
      </c>
      <c r="V8" s="224">
        <f t="shared" si="19"/>
        <v>1.25</v>
      </c>
      <c r="W8" s="159">
        <f ca="1">FORECAST(V8, OFFSET(Design!$C$15:$C$17,MATCH(V8,Design!$B$15:$B$17,1)-1,0,2), OFFSET(Design!$B$15:$B$17,MATCH(V8,Design!$B$15:$B$17,1)-1,0,2))+(AH8-25)*Design!$B$18/1000</f>
        <v>0.38269380437059247</v>
      </c>
      <c r="X8" s="225">
        <f ca="1">IF(100*(Design!$C$28+W8+V8*IF(ISBLANK(Design!$B$40),Constants!$C$6,Design!$B$40)/1000*(1+Constants!$C$31/100*(AI8-25)))/($W$2+W8-V8*AJ8/1000)&gt;Design!$C$35,Design!$C$35,100*(Design!$C$28+W8+V8*IF(ISBLANK(Design!$B$40),Constants!$C$6,Design!$B$40)/1000*(1+Constants!$C$31/100*(AI8-25)))/($W$2+W8-V8*AJ8/1000))</f>
        <v>30.418056532291722</v>
      </c>
      <c r="Y8" s="160">
        <f ca="1">($W$2-V8*IF(ISBLANK(Design!$B$40),Constants!$C$6,Design!$B$40)/1000*(1+Constants!$C$31/100*(AI8-25))-Design!$C$28) / (IF(ISBLANK(Design!$B$39),Design!$B$38,Design!$B$39)/1000000) * X8/100/(IF(ISBLANK(Design!$B$32),Design!$B$31,Design!$B$32)*1000000)</f>
        <v>0.59797116965387809</v>
      </c>
      <c r="Z8" s="226">
        <f>$W$2*Constants!$C$18/1000+IF(ISBLANK(Design!$B$32),Design!$B$31,Design!$B$32)*1000000*Constants!$D$22/1000000000*($W$2-Constants!$C$21)</f>
        <v>0.10600000000000001</v>
      </c>
      <c r="AA8" s="226">
        <f>$W$2*V8*($W$2/(Constants!$C$23*1000000000)*IF(ISBLANK(Design!$B$32),Design!$B$31,Design!$B$32)*1000000/2+$W$2/(Constants!$C$24*1000000000)*IF(ISBLANK(Design!$B$32),Design!$B$31,Design!$B$32)*1000000/2)</f>
        <v>0.21766917293233082</v>
      </c>
      <c r="AB8" s="226">
        <f t="shared" ca="1" si="6"/>
        <v>4.2787263144302069E-2</v>
      </c>
      <c r="AC8" s="226">
        <f>Constants!$D$22/1000000000*Constants!$C$21*IF(ISBLANK(Design!$B$32),Design!$B$31,Design!$B$32)*1000000</f>
        <v>4.9999999999999996E-2</v>
      </c>
      <c r="AD8" s="226">
        <f t="shared" ca="1" si="7"/>
        <v>0.41645643607663291</v>
      </c>
      <c r="AE8" s="226">
        <f t="shared" ca="1" si="8"/>
        <v>0.33285723326445971</v>
      </c>
      <c r="AF8" s="226">
        <f ca="1">V8^2*Design!$B$40/1000*(1+(AI8-25)*(Constants!$C$31/100))</f>
        <v>3.2988965905892488E-2</v>
      </c>
      <c r="AG8" s="226">
        <f>0.5*Snubber!$B$16/1000000000000*$W$2^2*Design!$B$32*1000000</f>
        <v>6.7680000000000004E-2</v>
      </c>
      <c r="AH8" s="227">
        <f ca="1">$A8+AE8*Design!$B$19</f>
        <v>43.972862296074204</v>
      </c>
      <c r="AI8" s="227">
        <f ca="1">AD8*Design!$C$12+$A8</f>
        <v>39.15951882660552</v>
      </c>
      <c r="AJ8" s="227">
        <f ca="1">Constants!$D$19+Constants!$D$19*Constants!$C$20/100*(AI8-25)</f>
        <v>88.340294559712305</v>
      </c>
      <c r="AK8" s="226">
        <f ca="1">(1-Constants!$C$17/1000000000*Design!$B$32*1000000) * ($W$2+W8-V8*AJ8/1000) - (W8+V8*Design!$B$40/1000)</f>
        <v>10.269179735098135</v>
      </c>
      <c r="AL8" s="226">
        <f ca="1">IF(AK8&gt;Design!$C$28,Design!$C$28,AK8)</f>
        <v>3.3239005736137672</v>
      </c>
      <c r="AM8" s="226">
        <f t="shared" ca="1" si="9"/>
        <v>0.84998263524698514</v>
      </c>
      <c r="AN8" s="226">
        <f t="shared" ca="1" si="10"/>
        <v>4.1548757170172088</v>
      </c>
      <c r="AO8" s="269">
        <f t="shared" ca="1" si="11"/>
        <v>83.016849320771399</v>
      </c>
      <c r="AP8" s="238">
        <f t="shared" si="20"/>
        <v>1.25</v>
      </c>
      <c r="AQ8" s="161">
        <f ca="1">FORECAST(AP8, OFFSET(Design!$C$15:$C$17,MATCH(AP8,Design!$B$15:$B$17,1)-1,0,2), OFFSET(Design!$B$15:$B$17,MATCH(AP8,Design!$B$15:$B$17,1)-1,0,2))+(BB8-25)*Design!$B$18/1000</f>
        <v>0.38076155900659336</v>
      </c>
      <c r="AR8" s="239">
        <f ca="1">IF(100*(Design!$C$28+AQ8+AP8*IF(ISBLANK(Design!$B$40),Constants!$C$6,Design!$B$40)/1000*(1+Constants!$C$31/100*(BC8-25)))/($AQ$2+AQ8-AP8*BD8/1000)&gt;Design!$C$35,Design!$C$35,100*(Design!$C$28+AQ8+AP8*IF(ISBLANK(Design!$B$40),Constants!$C$6,Design!$B$40)/1000*(1+Constants!$C$31/100*(BC8-25)))/($AQ$2+AQ8-AP8*BD8/1000))</f>
        <v>22.942583658918771</v>
      </c>
      <c r="AS8" s="162">
        <f ca="1">($AQ$2-AP8*IF(ISBLANK(Design!$B$40),Constants!$C$6,Design!$B$40)/1000*(1+Constants!$C$31/100*(BC8-25))-Design!$C$28) / (IF(ISBLANK(Design!$B$39),Design!$B$38,Design!$B$39)/1000000) * AR8/100/(IF(ISBLANK(Design!$B$32),Design!$B$31,Design!$B$32)*1000000)</f>
        <v>0.65954709164437353</v>
      </c>
      <c r="AT8" s="240">
        <f>$AQ$2*Constants!$C$18/1000+IF(ISBLANK(Design!$B$32),Design!$B$31,Design!$B$32)*1000000*Constants!$D$22/1000000000*($AQ$2-Constants!$C$21)</f>
        <v>0.158</v>
      </c>
      <c r="AU8" s="240">
        <f>$AQ$2*AP8*($AQ$2/(Constants!$C$23*1000000000)*IF(ISBLANK(Design!$B$32),Design!$B$31,Design!$B$32)*1000000/2+$AQ$2/(Constants!$C$24*1000000000)*IF(ISBLANK(Design!$B$32),Design!$B$31,Design!$B$32)*1000000/2)</f>
        <v>0.3869674185463659</v>
      </c>
      <c r="AV8" s="240">
        <f t="shared" ca="1" si="12"/>
        <v>3.3775167776891393E-2</v>
      </c>
      <c r="AW8" s="240">
        <f>Constants!$D$22/1000000000*Constants!$C$21*IF(ISBLANK(Design!$B$32),Design!$B$31,Design!$B$32)*1000000</f>
        <v>4.9999999999999996E-2</v>
      </c>
      <c r="AX8" s="240">
        <f t="shared" ca="1" si="13"/>
        <v>0.6287425863232573</v>
      </c>
      <c r="AY8" s="240">
        <f t="shared" ca="1" si="14"/>
        <v>0.36675627473812789</v>
      </c>
      <c r="AZ8" s="240">
        <f ca="1">AP8^2*Design!$B$40/1000*(1+(BC8-25)*(Constants!$C$31/100))</f>
        <v>3.3875393262016051E-2</v>
      </c>
      <c r="BA8" s="240">
        <f>0.5*Snubber!$B$16/1000000000000*$AQ$2^2*Design!$B$32*1000000</f>
        <v>0.12032000000000001</v>
      </c>
      <c r="BB8" s="241">
        <f ca="1">$A8+AY8*Design!$B$19</f>
        <v>45.905107660073291</v>
      </c>
      <c r="BC8" s="241">
        <f ca="1">AX8*Design!$C$12+$A8</f>
        <v>46.377247934990748</v>
      </c>
      <c r="BD8" s="241">
        <f ca="1">Constants!$D$19+Constants!$D$19*Constants!$C$20/100*(BC8-25)</f>
        <v>92.081965329499212</v>
      </c>
      <c r="BE8" s="240">
        <f ca="1">(1-Constants!$C$17/1000000000*Design!$B$32*1000000) * ($AQ$2+AQ8-AP8*BD8/1000) - (AQ8+AP8*Design!$B$40/1000)</f>
        <v>13.745361860033313</v>
      </c>
      <c r="BF8" s="240">
        <f ca="1">IF(BE8&gt;Design!$C$28,Design!$C$28,BE8)</f>
        <v>3.3239005736137672</v>
      </c>
      <c r="BG8" s="240">
        <f t="shared" ca="1" si="15"/>
        <v>1.1496942543234012</v>
      </c>
      <c r="BH8" s="240">
        <f t="shared" ca="1" si="16"/>
        <v>4.1548757170172088</v>
      </c>
      <c r="BI8" s="272">
        <f t="shared" ca="1" si="17"/>
        <v>78.32634387829853</v>
      </c>
    </row>
    <row r="9" spans="1:61" s="163" customFormat="1" ht="12.75">
      <c r="A9" s="155">
        <v>25</v>
      </c>
      <c r="B9" s="275">
        <f t="shared" si="18"/>
        <v>1.5</v>
      </c>
      <c r="C9" s="157">
        <f ca="1">FORECAST(B9, OFFSET(Design!$C$15:$C$17,MATCH(B9,Design!$B$15:$B$17,1)-1,0,2), OFFSET(Design!$B$15:$B$17,MATCH(B9,Design!$B$15:$B$17,1)-1,0,2))+(N9-25)*Design!$B$18/1000</f>
        <v>0.40233588259566749</v>
      </c>
      <c r="D9" s="216">
        <f ca="1">IF(100*(Design!$C$28+C9+B9*IF(ISBLANK(Design!$B$40),Constants!$C$6,Design!$B$40)/1000*(1+Constants!$C$31/100*(O9-25)))/($C$2+C9-B9*P9/1000)&gt;Design!$C$35,Design!$C$35,100*(Design!$C$28+C9+B9*IF(ISBLANK(Design!$B$40),Constants!$C$6,Design!$B$40)/1000*(1+Constants!$C$31/100*(O9-25)))/($C$2+C9-B9*P9/1000))</f>
        <v>45.420399852631689</v>
      </c>
      <c r="E9" s="158">
        <f ca="1">IF(($C$2-B9*IF(ISBLANK(Design!$B$40),Constants!$C$6,Design!$B$40)/1000*(1+Constants!$C$31/100*(O9-25))-Design!$C$28) / (IF(ISBLANK(Design!$B$39),Design!$B$38,Design!$B$39)/1000000) * D9/100/(IF(ISBLANK(Design!$B$32),Design!$B$31,Design!$B$32)*1000000)&lt;0,0,($C$2-B9*IF(ISBLANK(Design!$B$40),Constants!$C$6,Design!$B$40)/1000*(1+Constants!$C$31/100*(O9-25))-Design!$C$28) / (IF(ISBLANK(Design!$B$39),Design!$B$38,Design!$B$39)/1000000) * D9/100/(IF(ISBLANK(Design!$B$32),Design!$B$31,Design!$B$32)*1000000))</f>
        <v>0.47948045159066116</v>
      </c>
      <c r="F9" s="208">
        <f>$C$2*Constants!$C$18/1000+IF(ISBLANK(Design!$B$32),Design!$B$31,Design!$B$32)*1000000*Constants!$D$22/1000000000*($C$2-Constants!$C$21)</f>
        <v>5.3999999999999999E-2</v>
      </c>
      <c r="G9" s="208">
        <f>$C$2*B9*($C$2/(Constants!$C$23*1000000000)*IF(ISBLANK(Design!$B$32),Design!$B$31,Design!$B$32)*1000000/2+$C$2/(Constants!$C$24*1000000000)*IF(ISBLANK(Design!$B$32),Design!$B$31,Design!$B$32)*1000000/2)</f>
        <v>0.11609022556390977</v>
      </c>
      <c r="H9" s="208">
        <f t="shared" ca="1" si="0"/>
        <v>8.9100288217270118E-2</v>
      </c>
      <c r="I9" s="208">
        <f>Constants!$D$22/1000000000*Constants!$C$21*IF(ISBLANK(Design!$B$32),Design!$B$31,Design!$B$32)*1000000</f>
        <v>4.9999999999999996E-2</v>
      </c>
      <c r="J9" s="208">
        <f t="shared" ca="1" si="1"/>
        <v>0.30919051378117984</v>
      </c>
      <c r="K9" s="208">
        <f t="shared" ca="1" si="2"/>
        <v>0.32938997395515079</v>
      </c>
      <c r="L9" s="208">
        <f ca="1">B9^2*Design!$B$40/1000*(1+(O9-25)*(Constants!$C$31/100))</f>
        <v>4.6859131640314855E-2</v>
      </c>
      <c r="M9" s="208">
        <f>0.5*Snubber!$B$16/1000000000000*$C$2^2*Design!$B$32*1000000</f>
        <v>3.0080000000000003E-2</v>
      </c>
      <c r="N9" s="209">
        <f ca="1">$A9+K9*Design!$B$19</f>
        <v>43.775228515443594</v>
      </c>
      <c r="O9" s="209">
        <f ca="1">J9*Design!$C$12+A9</f>
        <v>35.512477468560114</v>
      </c>
      <c r="P9" s="209">
        <f ca="1">Constants!$D$19+Constants!$D$19*Constants!$C$20/100*(O9-25)</f>
        <v>86.449668319701559</v>
      </c>
      <c r="Q9" s="208">
        <f ca="1">(1-Constants!$C$17/1000000000*Design!$B$32*1000000) * ($C$2+C9-B9*P9/1000) - (C9+B9*Design!$B$40/1000)</f>
        <v>6.7648795181053512</v>
      </c>
      <c r="R9" s="208">
        <f ca="1">IF(Q9&gt;Design!$C$28,Design!$C$28,Q9)</f>
        <v>3.3239005736137672</v>
      </c>
      <c r="S9" s="208">
        <f t="shared" ca="1" si="3"/>
        <v>0.71551961937664543</v>
      </c>
      <c r="T9" s="208">
        <f t="shared" ca="1" si="4"/>
        <v>4.9858508604206513</v>
      </c>
      <c r="U9" s="265">
        <f t="shared" ca="1" si="5"/>
        <v>87.450041671347677</v>
      </c>
      <c r="V9" s="224">
        <f t="shared" si="19"/>
        <v>1.5</v>
      </c>
      <c r="W9" s="159">
        <f ca="1">FORECAST(V9, OFFSET(Design!$C$15:$C$17,MATCH(V9,Design!$B$15:$B$17,1)-1,0,2), OFFSET(Design!$B$15:$B$17,MATCH(V9,Design!$B$15:$B$17,1)-1,0,2))+(AH9-25)*Design!$B$18/1000</f>
        <v>0.39752527422849482</v>
      </c>
      <c r="X9" s="225">
        <f ca="1">IF(100*(Design!$C$28+W9+V9*IF(ISBLANK(Design!$B$40),Constants!$C$6,Design!$B$40)/1000*(1+Constants!$C$31/100*(AI9-25)))/($W$2+W9-V9*AJ9/1000)&gt;Design!$C$35,Design!$C$35,100*(Design!$C$28+W9+V9*IF(ISBLANK(Design!$B$40),Constants!$C$6,Design!$B$40)/1000*(1+Constants!$C$31/100*(AI9-25)))/($W$2+W9-V9*AJ9/1000))</f>
        <v>30.606238344838278</v>
      </c>
      <c r="Y9" s="160">
        <f ca="1">($W$2-V9*IF(ISBLANK(Design!$B$40),Constants!$C$6,Design!$B$40)/1000*(1+Constants!$C$31/100*(AI9-25))-Design!$C$28) / (IF(ISBLANK(Design!$B$39),Design!$B$38,Design!$B$39)/1000000) * X9/100/(IF(ISBLANK(Design!$B$32),Design!$B$31,Design!$B$32)*1000000)</f>
        <v>0.60128576125284317</v>
      </c>
      <c r="Z9" s="226">
        <f>$W$2*Constants!$C$18/1000+IF(ISBLANK(Design!$B$32),Design!$B$31,Design!$B$32)*1000000*Constants!$D$22/1000000000*($W$2-Constants!$C$21)</f>
        <v>0.10600000000000001</v>
      </c>
      <c r="AA9" s="226">
        <f>$W$2*V9*($W$2/(Constants!$C$23*1000000000)*IF(ISBLANK(Design!$B$32),Design!$B$31,Design!$B$32)*1000000/2+$W$2/(Constants!$C$24*1000000000)*IF(ISBLANK(Design!$B$32),Design!$B$31,Design!$B$32)*1000000/2)</f>
        <v>0.26120300751879699</v>
      </c>
      <c r="AB9" s="226">
        <f t="shared" ca="1" si="6"/>
        <v>6.24263432203149E-2</v>
      </c>
      <c r="AC9" s="226">
        <f>Constants!$D$22/1000000000*Constants!$C$21*IF(ISBLANK(Design!$B$32),Design!$B$31,Design!$B$32)*1000000</f>
        <v>4.9999999999999996E-2</v>
      </c>
      <c r="AD9" s="226">
        <f t="shared" ca="1" si="7"/>
        <v>0.47962935073911189</v>
      </c>
      <c r="AE9" s="226">
        <f t="shared" ca="1" si="8"/>
        <v>0.41378661197572453</v>
      </c>
      <c r="AF9" s="226">
        <f ca="1">V9^2*Design!$B$40/1000*(1+(AI9-25)*(Constants!$C$31/100))</f>
        <v>4.7883963323059206E-2</v>
      </c>
      <c r="AG9" s="226">
        <f>0.5*Snubber!$B$16/1000000000000*$W$2^2*Design!$B$32*1000000</f>
        <v>6.7680000000000004E-2</v>
      </c>
      <c r="AH9" s="227">
        <f ca="1">$A9+AE9*Design!$B$19</f>
        <v>48.585836882616299</v>
      </c>
      <c r="AI9" s="227">
        <f ca="1">AD9*Design!$C$12+$A9</f>
        <v>41.307397925129806</v>
      </c>
      <c r="AJ9" s="227">
        <f ca="1">Constants!$D$19+Constants!$D$19*Constants!$C$20/100*(AI9-25)</f>
        <v>89.453755084387296</v>
      </c>
      <c r="AK9" s="226">
        <f ca="1">(1-Constants!$C$17/1000000000*Design!$B$32*1000000) * ($W$2+W9-V9*AJ9/1000) - (W9+V9*Design!$B$40/1000)</f>
        <v>10.241584563965169</v>
      </c>
      <c r="AL9" s="226">
        <f ca="1">IF(AK9&gt;Design!$C$28,Design!$C$28,AK9)</f>
        <v>3.3239005736137672</v>
      </c>
      <c r="AM9" s="226">
        <f t="shared" ca="1" si="9"/>
        <v>1.0089799260378955</v>
      </c>
      <c r="AN9" s="226">
        <f t="shared" ca="1" si="10"/>
        <v>4.9858508604206513</v>
      </c>
      <c r="AO9" s="269">
        <f t="shared" ca="1" si="11"/>
        <v>83.169167538189157</v>
      </c>
      <c r="AP9" s="238">
        <f t="shared" si="20"/>
        <v>1.5</v>
      </c>
      <c r="AQ9" s="161">
        <f ca="1">FORECAST(AP9, OFFSET(Design!$C$15:$C$17,MATCH(AP9,Design!$B$15:$B$17,1)-1,0,2), OFFSET(Design!$B$15:$B$17,MATCH(AP9,Design!$B$15:$B$17,1)-1,0,2))+(BB9-25)*Design!$B$18/1000</f>
        <v>0.39512580291967386</v>
      </c>
      <c r="AR9" s="239">
        <f ca="1">IF(100*(Design!$C$28+AQ9+AP9*IF(ISBLANK(Design!$B$40),Constants!$C$6,Design!$B$40)/1000*(1+Constants!$C$31/100*(BC9-25)))/($AQ$2+AQ9-AP9*BD9/1000)&gt;Design!$C$35,Design!$C$35,100*(Design!$C$28+AQ9+AP9*IF(ISBLANK(Design!$B$40),Constants!$C$6,Design!$B$40)/1000*(1+Constants!$C$31/100*(BC9-25)))/($AQ$2+AQ9-AP9*BD9/1000))</f>
        <v>23.08228645473471</v>
      </c>
      <c r="AS9" s="162">
        <f ca="1">($AQ$2-AP9*IF(ISBLANK(Design!$B$40),Constants!$C$6,Design!$B$40)/1000*(1+Constants!$C$31/100*(BC9-25))-Design!$C$28) / (IF(ISBLANK(Design!$B$39),Design!$B$38,Design!$B$39)/1000000) * AR9/100/(IF(ISBLANK(Design!$B$32),Design!$B$31,Design!$B$32)*1000000)</f>
        <v>0.6632593189863657</v>
      </c>
      <c r="AT9" s="240">
        <f>$AQ$2*Constants!$C$18/1000+IF(ISBLANK(Design!$B$32),Design!$B$31,Design!$B$32)*1000000*Constants!$D$22/1000000000*($AQ$2-Constants!$C$21)</f>
        <v>0.158</v>
      </c>
      <c r="AU9" s="240">
        <f>$AQ$2*AP9*($AQ$2/(Constants!$C$23*1000000000)*IF(ISBLANK(Design!$B$32),Design!$B$31,Design!$B$32)*1000000/2+$AQ$2/(Constants!$C$24*1000000000)*IF(ISBLANK(Design!$B$32),Design!$B$31,Design!$B$32)*1000000/2)</f>
        <v>0.46436090225563909</v>
      </c>
      <c r="AV9" s="240">
        <f t="shared" ca="1" si="12"/>
        <v>4.9468068746258732E-2</v>
      </c>
      <c r="AW9" s="240">
        <f>Constants!$D$22/1000000000*Constants!$C$21*IF(ISBLANK(Design!$B$32),Design!$B$31,Design!$B$32)*1000000</f>
        <v>4.9999999999999996E-2</v>
      </c>
      <c r="AX9" s="240">
        <f t="shared" ca="1" si="13"/>
        <v>0.72182897100189791</v>
      </c>
      <c r="AY9" s="240">
        <f t="shared" ca="1" si="14"/>
        <v>0.4558825998497763</v>
      </c>
      <c r="AZ9" s="240">
        <f ca="1">AP9^2*Design!$B$40/1000*(1+(BC9-25)*(Constants!$C$31/100))</f>
        <v>4.9340285419737305E-2</v>
      </c>
      <c r="BA9" s="240">
        <f>0.5*Snubber!$B$16/1000000000000*$AQ$2^2*Design!$B$32*1000000</f>
        <v>0.12032000000000001</v>
      </c>
      <c r="BB9" s="241">
        <f ca="1">$A9+AY9*Design!$B$19</f>
        <v>50.985308191437248</v>
      </c>
      <c r="BC9" s="241">
        <f ca="1">AX9*Design!$C$12+$A9</f>
        <v>49.542185014064529</v>
      </c>
      <c r="BD9" s="241">
        <f ca="1">Constants!$D$19+Constants!$D$19*Constants!$C$20/100*(BC9-25)</f>
        <v>93.72266871129105</v>
      </c>
      <c r="BE9" s="240">
        <f ca="1">(1-Constants!$C$17/1000000000*Design!$B$32*1000000) * ($AQ$2+AQ9-AP9*BD9/1000) - (AQ9+AP9*Design!$B$40/1000)</f>
        <v>13.716325562952205</v>
      </c>
      <c r="BF9" s="240">
        <f ca="1">IF(BE9&gt;Design!$C$28,Design!$C$28,BE9)</f>
        <v>3.3239005736137672</v>
      </c>
      <c r="BG9" s="240">
        <f t="shared" ca="1" si="15"/>
        <v>1.3473718562714116</v>
      </c>
      <c r="BH9" s="240">
        <f t="shared" ca="1" si="16"/>
        <v>4.9858508604206513</v>
      </c>
      <c r="BI9" s="272">
        <f t="shared" ca="1" si="17"/>
        <v>78.725335953838609</v>
      </c>
    </row>
    <row r="10" spans="1:61" s="163" customFormat="1" ht="12.75">
      <c r="A10" s="155">
        <v>25</v>
      </c>
      <c r="B10" s="275">
        <f t="shared" si="18"/>
        <v>1.75</v>
      </c>
      <c r="C10" s="157">
        <f ca="1">FORECAST(B10, OFFSET(Design!$C$15:$C$17,MATCH(B10,Design!$B$15:$B$17,1)-1,0,2), OFFSET(Design!$B$15:$B$17,MATCH(B10,Design!$B$15:$B$17,1)-1,0,2))+(N10-25)*Design!$B$18/1000</f>
        <v>0.41792606870952398</v>
      </c>
      <c r="D10" s="216">
        <f ca="1">IF(100*(Design!$C$28+C10+B10*IF(ISBLANK(Design!$B$40),Constants!$C$6,Design!$B$40)/1000*(1+Constants!$C$31/100*(O10-25)))/($C$2+C10-B10*P10/1000)&gt;Design!$C$35,Design!$C$35,100*(Design!$C$28+C10+B10*IF(ISBLANK(Design!$B$40),Constants!$C$6,Design!$B$40)/1000*(1+Constants!$C$31/100*(O10-25)))/($C$2+C10-B10*P10/1000))</f>
        <v>45.717187678763317</v>
      </c>
      <c r="E10" s="158">
        <f ca="1">IF(($C$2-B10*IF(ISBLANK(Design!$B$40),Constants!$C$6,Design!$B$40)/1000*(1+Constants!$C$31/100*(O10-25))-Design!$C$28) / (IF(ISBLANK(Design!$B$39),Design!$B$38,Design!$B$39)/1000000) * D10/100/(IF(ISBLANK(Design!$B$32),Design!$B$31,Design!$B$32)*1000000)&lt;0,0,($C$2-B10*IF(ISBLANK(Design!$B$40),Constants!$C$6,Design!$B$40)/1000*(1+Constants!$C$31/100*(O10-25))-Design!$C$28) / (IF(ISBLANK(Design!$B$39),Design!$B$38,Design!$B$39)/1000000) * D10/100/(IF(ISBLANK(Design!$B$32),Design!$B$31,Design!$B$32)*1000000))</f>
        <v>0.48204657896310066</v>
      </c>
      <c r="F10" s="208">
        <f>$C$2*Constants!$C$18/1000+IF(ISBLANK(Design!$B$32),Design!$B$31,Design!$B$32)*1000000*Constants!$D$22/1000000000*($C$2-Constants!$C$21)</f>
        <v>5.3999999999999999E-2</v>
      </c>
      <c r="G10" s="208">
        <f>$C$2*B10*($C$2/(Constants!$C$23*1000000000)*IF(ISBLANK(Design!$B$32),Design!$B$31,Design!$B$32)*1000000/2+$C$2/(Constants!$C$24*1000000000)*IF(ISBLANK(Design!$B$32),Design!$B$31,Design!$B$32)*1000000/2)</f>
        <v>0.13543859649122808</v>
      </c>
      <c r="H10" s="208">
        <f t="shared" ca="1" si="0"/>
        <v>0.12312804547918077</v>
      </c>
      <c r="I10" s="208">
        <f>Constants!$D$22/1000000000*Constants!$C$21*IF(ISBLANK(Design!$B$32),Design!$B$31,Design!$B$32)*1000000</f>
        <v>4.9999999999999996E-2</v>
      </c>
      <c r="J10" s="208">
        <f t="shared" ca="1" si="1"/>
        <v>0.36256664197040883</v>
      </c>
      <c r="K10" s="208">
        <f t="shared" ca="1" si="2"/>
        <v>0.39700854115844875</v>
      </c>
      <c r="L10" s="208">
        <f ca="1">B10^2*Design!$B$40/1000*(1+(O10-25)*(Constants!$C$31/100))</f>
        <v>6.4217326975380268E-2</v>
      </c>
      <c r="M10" s="208">
        <f>0.5*Snubber!$B$16/1000000000000*$C$2^2*Design!$B$32*1000000</f>
        <v>3.0080000000000003E-2</v>
      </c>
      <c r="N10" s="209">
        <f ca="1">$A10+K10*Design!$B$19</f>
        <v>47.629486846031583</v>
      </c>
      <c r="O10" s="209">
        <f ca="1">J10*Design!$C$12+A10</f>
        <v>37.327265826993901</v>
      </c>
      <c r="P10" s="209">
        <f ca="1">Constants!$D$19+Constants!$D$19*Constants!$C$20/100*(O10-25)</f>
        <v>87.390454604713639</v>
      </c>
      <c r="Q10" s="208">
        <f ca="1">(1-Constants!$C$17/1000000000*Design!$B$32*1000000) * ($C$2+C10-B10*P10/1000) - (C10+B10*Design!$B$40/1000)</f>
        <v>6.7376176439320856</v>
      </c>
      <c r="R10" s="208">
        <f ca="1">IF(Q10&gt;Design!$C$28,Design!$C$28,Q10)</f>
        <v>3.3239005736137672</v>
      </c>
      <c r="S10" s="208">
        <f t="shared" ca="1" si="3"/>
        <v>0.85387251010423781</v>
      </c>
      <c r="T10" s="208">
        <f t="shared" ca="1" si="4"/>
        <v>5.8168260038240929</v>
      </c>
      <c r="U10" s="265">
        <f t="shared" ca="1" si="5"/>
        <v>87.199653704610341</v>
      </c>
      <c r="V10" s="224">
        <f t="shared" si="19"/>
        <v>1.75</v>
      </c>
      <c r="W10" s="159">
        <f ca="1">FORECAST(V10, OFFSET(Design!$C$15:$C$17,MATCH(V10,Design!$B$15:$B$17,1)-1,0,2), OFFSET(Design!$B$15:$B$17,MATCH(V10,Design!$B$15:$B$17,1)-1,0,2))+(AH10-25)*Design!$B$18/1000</f>
        <v>0.41210732459842031</v>
      </c>
      <c r="X10" s="225">
        <f ca="1">IF(100*(Design!$C$28+W10+V10*IF(ISBLANK(Design!$B$40),Constants!$C$6,Design!$B$40)/1000*(1+Constants!$C$31/100*(AI10-25)))/($W$2+W10-V10*AJ10/1000)&gt;Design!$C$35,Design!$C$35,100*(Design!$C$28+W10+V10*IF(ISBLANK(Design!$B$40),Constants!$C$6,Design!$B$40)/1000*(1+Constants!$C$31/100*(AI10-25)))/($W$2+W10-V10*AJ10/1000))</f>
        <v>30.795867776967501</v>
      </c>
      <c r="Y10" s="160">
        <f ca="1">($W$2-V10*IF(ISBLANK(Design!$B$40),Constants!$C$6,Design!$B$40)/1000*(1+Constants!$C$31/100*(AI10-25))-Design!$C$28) / (IF(ISBLANK(Design!$B$39),Design!$B$38,Design!$B$39)/1000000) * X10/100/(IF(ISBLANK(Design!$B$32),Design!$B$31,Design!$B$32)*1000000)</f>
        <v>0.60461673655494352</v>
      </c>
      <c r="Z10" s="226">
        <f>$W$2*Constants!$C$18/1000+IF(ISBLANK(Design!$B$32),Design!$B$31,Design!$B$32)*1000000*Constants!$D$22/1000000000*($W$2-Constants!$C$21)</f>
        <v>0.10600000000000001</v>
      </c>
      <c r="AA10" s="226">
        <f>$W$2*V10*($W$2/(Constants!$C$23*1000000000)*IF(ISBLANK(Design!$B$32),Design!$B$31,Design!$B$32)*1000000/2+$W$2/(Constants!$C$24*1000000000)*IF(ISBLANK(Design!$B$32),Design!$B$31,Design!$B$32)*1000000/2)</f>
        <v>0.30473684210526314</v>
      </c>
      <c r="AB10" s="226">
        <f t="shared" ca="1" si="6"/>
        <v>8.6337440397941348E-2</v>
      </c>
      <c r="AC10" s="226">
        <f>Constants!$D$22/1000000000*Constants!$C$21*IF(ISBLANK(Design!$B$32),Design!$B$31,Design!$B$32)*1000000</f>
        <v>4.9999999999999996E-2</v>
      </c>
      <c r="AD10" s="226">
        <f t="shared" ca="1" si="7"/>
        <v>0.54707428250320456</v>
      </c>
      <c r="AE10" s="226">
        <f t="shared" ca="1" si="8"/>
        <v>0.49909177117781189</v>
      </c>
      <c r="AF10" s="226">
        <f ca="1">V10^2*Design!$B$40/1000*(1+(AI10-25)*(Constants!$C$31/100))</f>
        <v>6.5727379019719798E-2</v>
      </c>
      <c r="AG10" s="226">
        <f>0.5*Snubber!$B$16/1000000000000*$W$2^2*Design!$B$32*1000000</f>
        <v>6.7680000000000004E-2</v>
      </c>
      <c r="AH10" s="227">
        <f ca="1">$A10+AE10*Design!$B$19</f>
        <v>53.44823095713528</v>
      </c>
      <c r="AI10" s="227">
        <f ca="1">AD10*Design!$C$12+$A10</f>
        <v>43.600525605108956</v>
      </c>
      <c r="AJ10" s="227">
        <f ca="1">Constants!$D$19+Constants!$D$19*Constants!$C$20/100*(AI10-25)</f>
        <v>90.642512473688484</v>
      </c>
      <c r="AK10" s="226">
        <f ca="1">(1-Constants!$C$17/1000000000*Design!$B$32*1000000) * ($W$2+W10-V10*AJ10/1000) - (W10+V10*Design!$B$40/1000)</f>
        <v>10.213422822561014</v>
      </c>
      <c r="AL10" s="226">
        <f ca="1">IF(AK10&gt;Design!$C$28,Design!$C$28,AK10)</f>
        <v>3.3239005736137672</v>
      </c>
      <c r="AM10" s="226">
        <f t="shared" ca="1" si="9"/>
        <v>1.1795734327007361</v>
      </c>
      <c r="AN10" s="226">
        <f t="shared" ca="1" si="10"/>
        <v>5.8168260038240929</v>
      </c>
      <c r="AO10" s="269">
        <f t="shared" ca="1" si="11"/>
        <v>83.140278890556885</v>
      </c>
      <c r="AP10" s="238">
        <f t="shared" si="20"/>
        <v>1.75</v>
      </c>
      <c r="AQ10" s="161">
        <f ca="1">FORECAST(AP10, OFFSET(Design!$C$15:$C$17,MATCH(AP10,Design!$B$15:$B$17,1)-1,0,2), OFFSET(Design!$B$15:$B$17,MATCH(AP10,Design!$B$15:$B$17,1)-1,0,2))+(BB10-25)*Design!$B$18/1000</f>
        <v>0.40921577451949015</v>
      </c>
      <c r="AR10" s="239">
        <f ca="1">IF(100*(Design!$C$28+AQ10+AP10*IF(ISBLANK(Design!$B$40),Constants!$C$6,Design!$B$40)/1000*(1+Constants!$C$31/100*(BC10-25)))/($AQ$2+AQ10-AP10*BD10/1000)&gt;Design!$C$35,Design!$C$35,100*(Design!$C$28+AQ10+AP10*IF(ISBLANK(Design!$B$40),Constants!$C$6,Design!$B$40)/1000*(1+Constants!$C$31/100*(BC10-25)))/($AQ$2+AQ10-AP10*BD10/1000))</f>
        <v>23.223079828507327</v>
      </c>
      <c r="AS10" s="162">
        <f ca="1">($AQ$2-AP10*IF(ISBLANK(Design!$B$40),Constants!$C$6,Design!$B$40)/1000*(1+Constants!$C$31/100*(BC10-25))-Design!$C$28) / (IF(ISBLANK(Design!$B$39),Design!$B$38,Design!$B$39)/1000000) * AR10/100/(IF(ISBLANK(Design!$B$32),Design!$B$31,Design!$B$32)*1000000)</f>
        <v>0.66699175482512196</v>
      </c>
      <c r="AT10" s="240">
        <f>$AQ$2*Constants!$C$18/1000+IF(ISBLANK(Design!$B$32),Design!$B$31,Design!$B$32)*1000000*Constants!$D$22/1000000000*($AQ$2-Constants!$C$21)</f>
        <v>0.158</v>
      </c>
      <c r="AU10" s="240">
        <f>$AQ$2*AP10*($AQ$2/(Constants!$C$23*1000000000)*IF(ISBLANK(Design!$B$32),Design!$B$31,Design!$B$32)*1000000/2+$AQ$2/(Constants!$C$24*1000000000)*IF(ISBLANK(Design!$B$32),Design!$B$31,Design!$B$32)*1000000/2)</f>
        <v>0.54175438596491232</v>
      </c>
      <c r="AV10" s="240">
        <f t="shared" ca="1" si="12"/>
        <v>6.8688873711702167E-2</v>
      </c>
      <c r="AW10" s="240">
        <f>Constants!$D$22/1000000000*Constants!$C$21*IF(ISBLANK(Design!$B$32),Design!$B$31,Design!$B$32)*1000000</f>
        <v>4.9999999999999996E-2</v>
      </c>
      <c r="AX10" s="240">
        <f t="shared" ca="1" si="13"/>
        <v>0.81844325967661458</v>
      </c>
      <c r="AY10" s="240">
        <f t="shared" ca="1" si="14"/>
        <v>0.5498207199309727</v>
      </c>
      <c r="AZ10" s="240">
        <f ca="1">AP10^2*Design!$B$40/1000*(1+(BC10-25)*(Constants!$C$31/100))</f>
        <v>6.7948323786926834E-2</v>
      </c>
      <c r="BA10" s="240">
        <f>0.5*Snubber!$B$16/1000000000000*$AQ$2^2*Design!$B$32*1000000</f>
        <v>0.12032000000000001</v>
      </c>
      <c r="BB10" s="241">
        <f ca="1">$A10+AY10*Design!$B$19</f>
        <v>56.339781036065446</v>
      </c>
      <c r="BC10" s="241">
        <f ca="1">AX10*Design!$C$12+$A10</f>
        <v>52.827070829004896</v>
      </c>
      <c r="BD10" s="241">
        <f ca="1">Constants!$D$19+Constants!$D$19*Constants!$C$20/100*(BC10-25)</f>
        <v>95.425553517756143</v>
      </c>
      <c r="BE10" s="240">
        <f ca="1">(1-Constants!$C$17/1000000000*Design!$B$32*1000000) * ($AQ$2+AQ10-AP10*BD10/1000) - (AQ10+AP10*Design!$B$40/1000)</f>
        <v>13.686516544081684</v>
      </c>
      <c r="BF10" s="240">
        <f ca="1">IF(BE10&gt;Design!$C$28,Design!$C$28,BE10)</f>
        <v>3.3239005736137672</v>
      </c>
      <c r="BG10" s="240">
        <f t="shared" ca="1" si="15"/>
        <v>1.5565323033945142</v>
      </c>
      <c r="BH10" s="240">
        <f t="shared" ca="1" si="16"/>
        <v>5.8168260038240929</v>
      </c>
      <c r="BI10" s="272">
        <f t="shared" ca="1" si="17"/>
        <v>78.889778055805991</v>
      </c>
    </row>
    <row r="11" spans="1:61" s="163" customFormat="1" ht="12.75">
      <c r="A11" s="155">
        <v>25</v>
      </c>
      <c r="B11" s="275">
        <f t="shared" si="18"/>
        <v>2</v>
      </c>
      <c r="C11" s="157">
        <f ca="1">FORECAST(B11, OFFSET(Design!$C$15:$C$17,MATCH(B11,Design!$B$15:$B$17,1)-1,0,2), OFFSET(Design!$B$15:$B$17,MATCH(B11,Design!$B$15:$B$17,1)-1,0,2))+(N11-25)*Design!$B$18/1000</f>
        <v>0.43333314945734053</v>
      </c>
      <c r="D11" s="216">
        <f ca="1">IF(100*(Design!$C$28+C11+B11*IF(ISBLANK(Design!$B$40),Constants!$C$6,Design!$B$40)/1000*(1+Constants!$C$31/100*(O11-25)))/($C$2+C11-B11*P11/1000)&gt;Design!$C$35,Design!$C$35,100*(Design!$C$28+C11+B11*IF(ISBLANK(Design!$B$40),Constants!$C$6,Design!$B$40)/1000*(1+Constants!$C$31/100*(O11-25)))/($C$2+C11-B11*P11/1000))</f>
        <v>46.018498262777314</v>
      </c>
      <c r="E11" s="158">
        <f ca="1">IF(($C$2-B11*IF(ISBLANK(Design!$B$40),Constants!$C$6,Design!$B$40)/1000*(1+Constants!$C$31/100*(O11-25))-Design!$C$28) / (IF(ISBLANK(Design!$B$39),Design!$B$38,Design!$B$39)/1000000) * D11/100/(IF(ISBLANK(Design!$B$32),Design!$B$31,Design!$B$32)*1000000)&lt;0,0,($C$2-B11*IF(ISBLANK(Design!$B$40),Constants!$C$6,Design!$B$40)/1000*(1+Constants!$C$31/100*(O11-25))-Design!$C$28) / (IF(ISBLANK(Design!$B$39),Design!$B$38,Design!$B$39)/1000000) * D11/100/(IF(ISBLANK(Design!$B$32),Design!$B$31,Design!$B$32)*1000000))</f>
        <v>0.48464191612874175</v>
      </c>
      <c r="F11" s="208">
        <f>$C$2*Constants!$C$18/1000+IF(ISBLANK(Design!$B$32),Design!$B$31,Design!$B$32)*1000000*Constants!$D$22/1000000000*($C$2-Constants!$C$21)</f>
        <v>5.3999999999999999E-2</v>
      </c>
      <c r="G11" s="208">
        <f>$C$2*B11*($C$2/(Constants!$C$23*1000000000)*IF(ISBLANK(Design!$B$32),Design!$B$31,Design!$B$32)*1000000/2+$C$2/(Constants!$C$24*1000000000)*IF(ISBLANK(Design!$B$32),Design!$B$31,Design!$B$32)*1000000/2)</f>
        <v>0.15478696741854636</v>
      </c>
      <c r="H11" s="208">
        <f t="shared" ca="1" si="0"/>
        <v>0.16360058407036424</v>
      </c>
      <c r="I11" s="208">
        <f>Constants!$D$22/1000000000*Constants!$C$21*IF(ISBLANK(Design!$B$32),Design!$B$31,Design!$B$32)*1000000</f>
        <v>4.9999999999999996E-2</v>
      </c>
      <c r="J11" s="208">
        <f t="shared" ca="1" si="1"/>
        <v>0.42238755148891055</v>
      </c>
      <c r="K11" s="208">
        <f t="shared" ca="1" si="2"/>
        <v>0.46783948320455215</v>
      </c>
      <c r="L11" s="208">
        <f ca="1">B11^2*Design!$B$40/1000*(1+(O11-25)*(Constants!$C$31/100))</f>
        <v>8.4515153970395857E-2</v>
      </c>
      <c r="M11" s="208">
        <f>0.5*Snubber!$B$16/1000000000000*$C$2^2*Design!$B$32*1000000</f>
        <v>3.0080000000000003E-2</v>
      </c>
      <c r="N11" s="209">
        <f ca="1">$A11+K11*Design!$B$19</f>
        <v>51.666850542659475</v>
      </c>
      <c r="O11" s="209">
        <f ca="1">J11*Design!$C$12+A11</f>
        <v>39.36117675062296</v>
      </c>
      <c r="P11" s="209">
        <f ca="1">Constants!$D$19+Constants!$D$19*Constants!$C$20/100*(O11-25)</f>
        <v>88.444834027522944</v>
      </c>
      <c r="Q11" s="208">
        <f ca="1">(1-Constants!$C$17/1000000000*Design!$B$32*1000000) * ($C$2+C11-B11*P11/1000) - (C11+B11*Design!$B$40/1000)</f>
        <v>6.709772679362656</v>
      </c>
      <c r="R11" s="208">
        <f ca="1">IF(Q11&gt;Design!$C$28,Design!$C$28,Q11)</f>
        <v>3.3239005736137672</v>
      </c>
      <c r="S11" s="208">
        <f t="shared" ca="1" si="3"/>
        <v>1.0048221886638586</v>
      </c>
      <c r="T11" s="208">
        <f t="shared" ca="1" si="4"/>
        <v>6.6478011472275345</v>
      </c>
      <c r="U11" s="265">
        <f t="shared" ca="1" si="5"/>
        <v>86.869572111942773</v>
      </c>
      <c r="V11" s="224">
        <f t="shared" si="19"/>
        <v>2</v>
      </c>
      <c r="W11" s="159">
        <f ca="1">FORECAST(V11, OFFSET(Design!$C$15:$C$17,MATCH(V11,Design!$B$15:$B$17,1)-1,0,2), OFFSET(Design!$B$15:$B$17,MATCH(V11,Design!$B$15:$B$17,1)-1,0,2))+(AH11-25)*Design!$B$18/1000</f>
        <v>0.42644931984795487</v>
      </c>
      <c r="X11" s="225">
        <f ca="1">IF(100*(Design!$C$28+W11+V11*IF(ISBLANK(Design!$B$40),Constants!$C$6,Design!$B$40)/1000*(1+Constants!$C$31/100*(AI11-25)))/($W$2+W11-V11*AJ11/1000)&gt;Design!$C$35,Design!$C$35,100*(Design!$C$28+W11+V11*IF(ISBLANK(Design!$B$40),Constants!$C$6,Design!$B$40)/1000*(1+Constants!$C$31/100*(AI11-25)))/($W$2+W11-V11*AJ11/1000))</f>
        <v>30.987294817359356</v>
      </c>
      <c r="Y11" s="160">
        <f ca="1">($W$2-V11*IF(ISBLANK(Design!$B$40),Constants!$C$6,Design!$B$40)/1000*(1+Constants!$C$31/100*(AI11-25))-Design!$C$28) / (IF(ISBLANK(Design!$B$39),Design!$B$38,Design!$B$39)/1000000) * X11/100/(IF(ISBLANK(Design!$B$32),Design!$B$31,Design!$B$32)*1000000)</f>
        <v>0.60797006322864422</v>
      </c>
      <c r="Z11" s="226">
        <f>$W$2*Constants!$C$18/1000+IF(ISBLANK(Design!$B$32),Design!$B$31,Design!$B$32)*1000000*Constants!$D$22/1000000000*($W$2-Constants!$C$21)</f>
        <v>0.10600000000000001</v>
      </c>
      <c r="AA11" s="226">
        <f>$W$2*V11*($W$2/(Constants!$C$23*1000000000)*IF(ISBLANK(Design!$B$32),Design!$B$31,Design!$B$32)*1000000/2+$W$2/(Constants!$C$24*1000000000)*IF(ISBLANK(Design!$B$32),Design!$B$31,Design!$B$32)*1000000/2)</f>
        <v>0.34827067669172929</v>
      </c>
      <c r="AB11" s="226">
        <f t="shared" ca="1" si="6"/>
        <v>0.11480083528453909</v>
      </c>
      <c r="AC11" s="226">
        <f>Constants!$D$22/1000000000*Constants!$C$21*IF(ISBLANK(Design!$B$32),Design!$B$31,Design!$B$32)*1000000</f>
        <v>4.9999999999999996E-2</v>
      </c>
      <c r="AD11" s="226">
        <f t="shared" ca="1" si="7"/>
        <v>0.61907151197626842</v>
      </c>
      <c r="AE11" s="226">
        <f t="shared" ca="1" si="8"/>
        <v>0.58860842372009059</v>
      </c>
      <c r="AF11" s="226">
        <f ca="1">V11^2*Design!$B$40/1000*(1+(AI11-25)*(Constants!$C$31/100))</f>
        <v>8.6617626834421521E-2</v>
      </c>
      <c r="AG11" s="226">
        <f>0.5*Snubber!$B$16/1000000000000*$W$2^2*Design!$B$32*1000000</f>
        <v>6.7680000000000004E-2</v>
      </c>
      <c r="AH11" s="227">
        <f ca="1">$A11+AE11*Design!$B$19</f>
        <v>58.55068015204516</v>
      </c>
      <c r="AI11" s="227">
        <f ca="1">AD11*Design!$C$12+$A11</f>
        <v>46.048431407193128</v>
      </c>
      <c r="AJ11" s="227">
        <f ca="1">Constants!$D$19+Constants!$D$19*Constants!$C$20/100*(AI11-25)</f>
        <v>91.911506841488915</v>
      </c>
      <c r="AK11" s="226">
        <f ca="1">(1-Constants!$C$17/1000000000*Design!$B$32*1000000) * ($W$2+W11-V11*AJ11/1000) - (W11+V11*Design!$B$40/1000)</f>
        <v>10.184635566515574</v>
      </c>
      <c r="AL11" s="226">
        <f ca="1">IF(AK11&gt;Design!$C$28,Design!$C$28,AK11)</f>
        <v>3.3239005736137672</v>
      </c>
      <c r="AM11" s="226">
        <f t="shared" ca="1" si="9"/>
        <v>1.3619775625307804</v>
      </c>
      <c r="AN11" s="226">
        <f t="shared" ca="1" si="10"/>
        <v>6.6478011472275345</v>
      </c>
      <c r="AO11" s="269">
        <f t="shared" ca="1" si="11"/>
        <v>82.996065036459953</v>
      </c>
      <c r="AP11" s="238">
        <f t="shared" si="20"/>
        <v>2</v>
      </c>
      <c r="AQ11" s="161">
        <f ca="1">FORECAST(AP11, OFFSET(Design!$C$15:$C$17,MATCH(AP11,Design!$B$15:$B$17,1)-1,0,2), OFFSET(Design!$B$15:$B$17,MATCH(AP11,Design!$B$15:$B$17,1)-1,0,2))+(BB11-25)*Design!$B$18/1000</f>
        <v>0.42304152762434233</v>
      </c>
      <c r="AR11" s="239">
        <f ca="1">IF(100*(Design!$C$28+AQ11+AP11*IF(ISBLANK(Design!$B$40),Constants!$C$6,Design!$B$40)/1000*(1+Constants!$C$31/100*(BC11-25)))/($AQ$2+AQ11-AP11*BD11/1000)&gt;Design!$C$35,Design!$C$35,100*(Design!$C$28+AQ11+AP11*IF(ISBLANK(Design!$B$40),Constants!$C$6,Design!$B$40)/1000*(1+Constants!$C$31/100*(BC11-25)))/($AQ$2+AQ11-AP11*BD11/1000))</f>
        <v>23.365176954886312</v>
      </c>
      <c r="AS11" s="162">
        <f ca="1">($AQ$2-AP11*IF(ISBLANK(Design!$B$40),Constants!$C$6,Design!$B$40)/1000*(1+Constants!$C$31/100*(BC11-25))-Design!$C$28) / (IF(ISBLANK(Design!$B$39),Design!$B$38,Design!$B$39)/1000000) * AR11/100/(IF(ISBLANK(Design!$B$32),Design!$B$31,Design!$B$32)*1000000)</f>
        <v>0.6707498921442927</v>
      </c>
      <c r="AT11" s="240">
        <f>$AQ$2*Constants!$C$18/1000+IF(ISBLANK(Design!$B$32),Design!$B$31,Design!$B$32)*1000000*Constants!$D$22/1000000000*($AQ$2-Constants!$C$21)</f>
        <v>0.158</v>
      </c>
      <c r="AU11" s="240">
        <f>$AQ$2*AP11*($AQ$2/(Constants!$C$23*1000000000)*IF(ISBLANK(Design!$B$32),Design!$B$31,Design!$B$32)*1000000/2+$AQ$2/(Constants!$C$24*1000000000)*IF(ISBLANK(Design!$B$32),Design!$B$31,Design!$B$32)*1000000/2)</f>
        <v>0.61914786967418545</v>
      </c>
      <c r="AV11" s="240">
        <f t="shared" ca="1" si="12"/>
        <v>9.1690648505281941E-2</v>
      </c>
      <c r="AW11" s="240">
        <f>Constants!$D$22/1000000000*Constants!$C$21*IF(ISBLANK(Design!$B$32),Design!$B$31,Design!$B$32)*1000000</f>
        <v>4.9999999999999996E-2</v>
      </c>
      <c r="AX11" s="240">
        <f t="shared" ca="1" si="13"/>
        <v>0.91883851817946749</v>
      </c>
      <c r="AY11" s="240">
        <f t="shared" ca="1" si="14"/>
        <v>0.64839425220452096</v>
      </c>
      <c r="AZ11" s="240">
        <f ca="1">AP11^2*Design!$B$40/1000*(1+(BC11-25)*(Constants!$C$31/100))</f>
        <v>8.9822016223931239E-2</v>
      </c>
      <c r="BA11" s="240">
        <f>0.5*Snubber!$B$16/1000000000000*$AQ$2^2*Design!$B$32*1000000</f>
        <v>0.12032000000000001</v>
      </c>
      <c r="BB11" s="241">
        <f ca="1">$A11+AY11*Design!$B$19</f>
        <v>61.958472375657692</v>
      </c>
      <c r="BC11" s="241">
        <f ca="1">AX11*Design!$C$12+$A11</f>
        <v>56.240509618101896</v>
      </c>
      <c r="BD11" s="241">
        <f ca="1">Constants!$D$19+Constants!$D$19*Constants!$C$20/100*(BC11-25)</f>
        <v>97.195080186024029</v>
      </c>
      <c r="BE11" s="240">
        <f ca="1">(1-Constants!$C$17/1000000000*Design!$B$32*1000000) * ($AQ$2+AQ11-AP11*BD11/1000) - (AQ11+AP11*Design!$B$40/1000)</f>
        <v>13.655885161885152</v>
      </c>
      <c r="BF11" s="240">
        <f ca="1">IF(BE11&gt;Design!$C$28,Design!$C$28,BE11)</f>
        <v>3.3239005736137672</v>
      </c>
      <c r="BG11" s="240">
        <f t="shared" ca="1" si="15"/>
        <v>1.7773747866079195</v>
      </c>
      <c r="BH11" s="240">
        <f t="shared" ca="1" si="16"/>
        <v>6.6478011472275345</v>
      </c>
      <c r="BI11" s="272">
        <f t="shared" ca="1" si="17"/>
        <v>78.904003897770323</v>
      </c>
    </row>
    <row r="12" spans="1:61" s="163" customFormat="1" ht="12.75">
      <c r="A12" s="155">
        <v>25</v>
      </c>
      <c r="B12" s="275">
        <f t="shared" si="18"/>
        <v>2.25</v>
      </c>
      <c r="C12" s="157">
        <f ca="1">FORECAST(B12, OFFSET(Design!$C$15:$C$17,MATCH(B12,Design!$B$15:$B$17,1)-1,0,2), OFFSET(Design!$B$15:$B$17,MATCH(B12,Design!$B$15:$B$17,1)-1,0,2))+(N12-25)*Design!$B$18/1000</f>
        <v>0.43617914382775408</v>
      </c>
      <c r="D12" s="216">
        <f ca="1">IF(100*(Design!$C$28+C12+B12*IF(ISBLANK(Design!$B$40),Constants!$C$6,Design!$B$40)/1000*(1+Constants!$C$31/100*(O12-25)))/($C$2+C12-B12*P12/1000)&gt;Design!$C$35,Design!$C$35,100*(Design!$C$28+C12+B12*IF(ISBLANK(Design!$B$40),Constants!$C$6,Design!$B$40)/1000*(1+Constants!$C$31/100*(O12-25)))/($C$2+C12-B12*P12/1000))</f>
        <v>46.244423479035092</v>
      </c>
      <c r="E12" s="158">
        <f ca="1">IF(($C$2-B12*IF(ISBLANK(Design!$B$40),Constants!$C$6,Design!$B$40)/1000*(1+Constants!$C$31/100*(O12-25))-Design!$C$28) / (IF(ISBLANK(Design!$B$39),Design!$B$38,Design!$B$39)/1000000) * D12/100/(IF(ISBLANK(Design!$B$32),Design!$B$31,Design!$B$32)*1000000)&lt;0,0,($C$2-B12*IF(ISBLANK(Design!$B$40),Constants!$C$6,Design!$B$40)/1000*(1+Constants!$C$31/100*(O12-25))-Design!$C$28) / (IF(ISBLANK(Design!$B$39),Design!$B$38,Design!$B$39)/1000000) * D12/100/(IF(ISBLANK(Design!$B$32),Design!$B$31,Design!$B$32)*1000000))</f>
        <v>0.48642413495383252</v>
      </c>
      <c r="F12" s="208">
        <f>$C$2*Constants!$C$18/1000+IF(ISBLANK(Design!$B$32),Design!$B$31,Design!$B$32)*1000000*Constants!$D$22/1000000000*($C$2-Constants!$C$21)</f>
        <v>5.3999999999999999E-2</v>
      </c>
      <c r="G12" s="208">
        <f>$C$2*B12*($C$2/(Constants!$C$23*1000000000)*IF(ISBLANK(Design!$B$32),Design!$B$31,Design!$B$32)*1000000/2+$C$2/(Constants!$C$24*1000000000)*IF(ISBLANK(Design!$B$32),Design!$B$31,Design!$B$32)*1000000/2)</f>
        <v>0.17413533834586464</v>
      </c>
      <c r="H12" s="208">
        <f t="shared" ca="1" si="0"/>
        <v>0.21061585013731932</v>
      </c>
      <c r="I12" s="208">
        <f>Constants!$D$22/1000000000*Constants!$C$21*IF(ISBLANK(Design!$B$32),Design!$B$31,Design!$B$32)*1000000</f>
        <v>4.9999999999999996E-2</v>
      </c>
      <c r="J12" s="208">
        <f t="shared" ca="1" si="1"/>
        <v>0.48875118848318394</v>
      </c>
      <c r="K12" s="208">
        <f t="shared" ca="1" si="2"/>
        <v>0.52755888021484032</v>
      </c>
      <c r="L12" s="208">
        <f ca="1">B12^2*Design!$B$40/1000*(1+(O12-25)*(Constants!$C$31/100))</f>
        <v>0.10786232704776871</v>
      </c>
      <c r="M12" s="208">
        <f>0.5*Snubber!$B$16/1000000000000*$C$2^2*Design!$B$32*1000000</f>
        <v>3.0080000000000003E-2</v>
      </c>
      <c r="N12" s="209">
        <f ca="1">$A12+K12*Design!$B$19</f>
        <v>55.070856172245897</v>
      </c>
      <c r="O12" s="209">
        <f ca="1">J12*Design!$C$12+A12</f>
        <v>41.617540408428255</v>
      </c>
      <c r="P12" s="209">
        <f ca="1">Constants!$D$19+Constants!$D$19*Constants!$C$20/100*(O12-25)</f>
        <v>89.614532947729202</v>
      </c>
      <c r="Q12" s="208">
        <f ca="1">(1-Constants!$C$17/1000000000*Design!$B$32*1000000) * ($C$2+C12-B12*P12/1000) - (C12+B12*Design!$B$40/1000)</f>
        <v>6.6828762630572118</v>
      </c>
      <c r="R12" s="208">
        <f ca="1">IF(Q12&gt;Design!$C$28,Design!$C$28,Q12)</f>
        <v>3.3239005736137672</v>
      </c>
      <c r="S12" s="208">
        <f t="shared" ca="1" si="3"/>
        <v>1.1542523957457931</v>
      </c>
      <c r="T12" s="208">
        <f t="shared" ca="1" si="4"/>
        <v>7.478776290630976</v>
      </c>
      <c r="U12" s="265">
        <f t="shared" ca="1" si="5"/>
        <v>86.629809332531877</v>
      </c>
      <c r="V12" s="224">
        <f t="shared" si="19"/>
        <v>2.25</v>
      </c>
      <c r="W12" s="159">
        <f ca="1">FORECAST(V12, OFFSET(Design!$C$15:$C$17,MATCH(V12,Design!$B$15:$B$17,1)-1,0,2), OFFSET(Design!$B$15:$B$17,MATCH(V12,Design!$B$15:$B$17,1)-1,0,2))+(AH12-25)*Design!$B$18/1000</f>
        <v>0.4284014221610456</v>
      </c>
      <c r="X12" s="225">
        <f ca="1">IF(100*(Design!$C$28+W12+V12*IF(ISBLANK(Design!$B$40),Constants!$C$6,Design!$B$40)/1000*(1+Constants!$C$31/100*(AI12-25)))/($W$2+W12-V12*AJ12/1000)&gt;Design!$C$35,Design!$C$35,100*(Design!$C$28+W12+V12*IF(ISBLANK(Design!$B$40),Constants!$C$6,Design!$B$40)/1000*(1+Constants!$C$31/100*(AI12-25)))/($W$2+W12-V12*AJ12/1000))</f>
        <v>31.112362982056936</v>
      </c>
      <c r="Y12" s="160">
        <f ca="1">($W$2-V12*IF(ISBLANK(Design!$B$40),Constants!$C$6,Design!$B$40)/1000*(1+Constants!$C$31/100*(AI12-25))-Design!$C$28) / (IF(ISBLANK(Design!$B$39),Design!$B$38,Design!$B$39)/1000000) * X12/100/(IF(ISBLANK(Design!$B$32),Design!$B$31,Design!$B$32)*1000000)</f>
        <v>0.61000856696734429</v>
      </c>
      <c r="Z12" s="226">
        <f>$W$2*Constants!$C$18/1000+IF(ISBLANK(Design!$B$32),Design!$B$31,Design!$B$32)*1000000*Constants!$D$22/1000000000*($W$2-Constants!$C$21)</f>
        <v>0.10600000000000001</v>
      </c>
      <c r="AA12" s="226">
        <f>$W$2*V12*($W$2/(Constants!$C$23*1000000000)*IF(ISBLANK(Design!$B$32),Design!$B$31,Design!$B$32)*1000000/2+$W$2/(Constants!$C$24*1000000000)*IF(ISBLANK(Design!$B$32),Design!$B$31,Design!$B$32)*1000000/2)</f>
        <v>0.39180451127819549</v>
      </c>
      <c r="AB12" s="226">
        <f t="shared" ca="1" si="6"/>
        <v>0.14779060020662702</v>
      </c>
      <c r="AC12" s="226">
        <f>Constants!$D$22/1000000000*Constants!$C$21*IF(ISBLANK(Design!$B$32),Design!$B$31,Design!$B$32)*1000000</f>
        <v>4.9999999999999996E-2</v>
      </c>
      <c r="AD12" s="226">
        <f t="shared" ca="1" si="7"/>
        <v>0.69559511148482256</v>
      </c>
      <c r="AE12" s="226">
        <f t="shared" ca="1" si="8"/>
        <v>0.66401013752551585</v>
      </c>
      <c r="AF12" s="226">
        <f ca="1">V12^2*Design!$B$40/1000*(1+(AI12-25)*(Constants!$C$31/100))</f>
        <v>0.11066072365315595</v>
      </c>
      <c r="AG12" s="226">
        <f>0.5*Snubber!$B$16/1000000000000*$W$2^2*Design!$B$32*1000000</f>
        <v>6.7680000000000004E-2</v>
      </c>
      <c r="AH12" s="227">
        <f ca="1">$A12+AE12*Design!$B$19</f>
        <v>62.848577838954405</v>
      </c>
      <c r="AI12" s="227">
        <f ca="1">AD12*Design!$C$12+$A12</f>
        <v>48.650233790483966</v>
      </c>
      <c r="AJ12" s="227">
        <f ca="1">Constants!$D$19+Constants!$D$19*Constants!$C$20/100*(AI12-25)</f>
        <v>93.260281196986895</v>
      </c>
      <c r="AK12" s="226">
        <f ca="1">(1-Constants!$C$17/1000000000*Design!$B$32*1000000) * ($W$2+W12-V12*AJ12/1000) - (W12+V12*Design!$B$40/1000)</f>
        <v>10.156750814675963</v>
      </c>
      <c r="AL12" s="226">
        <f ca="1">IF(AK12&gt;Design!$C$28,Design!$C$28,AK12)</f>
        <v>3.3239005736137672</v>
      </c>
      <c r="AM12" s="226">
        <f t="shared" ca="1" si="9"/>
        <v>1.5379459726634943</v>
      </c>
      <c r="AN12" s="226">
        <f t="shared" ca="1" si="10"/>
        <v>7.478776290630976</v>
      </c>
      <c r="AO12" s="269">
        <f t="shared" ca="1" si="11"/>
        <v>82.943403070934011</v>
      </c>
      <c r="AP12" s="238">
        <f t="shared" si="20"/>
        <v>2.25</v>
      </c>
      <c r="AQ12" s="161">
        <f ca="1">FORECAST(AP12, OFFSET(Design!$C$15:$C$17,MATCH(AP12,Design!$B$15:$B$17,1)-1,0,2), OFFSET(Design!$B$15:$B$17,MATCH(AP12,Design!$B$15:$B$17,1)-1,0,2))+(BB12-25)*Design!$B$18/1000</f>
        <v>0.42456883805330276</v>
      </c>
      <c r="AR12" s="239">
        <f ca="1">IF(100*(Design!$C$28+AQ12+AP12*IF(ISBLANK(Design!$B$40),Constants!$C$6,Design!$B$40)/1000*(1+Constants!$C$31/100*(BC12-25)))/($AQ$2+AQ12-AP12*BD12/1000)&gt;Design!$C$35,Design!$C$35,100*(Design!$C$28+AQ12+AP12*IF(ISBLANK(Design!$B$40),Constants!$C$6,Design!$B$40)/1000*(1+Constants!$C$31/100*(BC12-25)))/($AQ$2+AQ12-AP12*BD12/1000))</f>
        <v>23.451915379682713</v>
      </c>
      <c r="AS12" s="162">
        <f ca="1">($AQ$2-AP12*IF(ISBLANK(Design!$B$40),Constants!$C$6,Design!$B$40)/1000*(1+Constants!$C$31/100*(BC12-25))-Design!$C$28) / (IF(ISBLANK(Design!$B$39),Design!$B$38,Design!$B$39)/1000000) * AR12/100/(IF(ISBLANK(Design!$B$32),Design!$B$31,Design!$B$32)*1000000)</f>
        <v>0.6729073150600392</v>
      </c>
      <c r="AT12" s="240">
        <f>$AQ$2*Constants!$C$18/1000+IF(ISBLANK(Design!$B$32),Design!$B$31,Design!$B$32)*1000000*Constants!$D$22/1000000000*($AQ$2-Constants!$C$21)</f>
        <v>0.158</v>
      </c>
      <c r="AU12" s="240">
        <f>$AQ$2*AP12*($AQ$2/(Constants!$C$23*1000000000)*IF(ISBLANK(Design!$B$32),Design!$B$31,Design!$B$32)*1000000/2+$AQ$2/(Constants!$C$24*1000000000)*IF(ISBLANK(Design!$B$32),Design!$B$31,Design!$B$32)*1000000/2)</f>
        <v>0.69654135338345857</v>
      </c>
      <c r="AV12" s="240">
        <f t="shared" ca="1" si="12"/>
        <v>0.1184510520482462</v>
      </c>
      <c r="AW12" s="240">
        <f>Constants!$D$22/1000000000*Constants!$C$21*IF(ISBLANK(Design!$B$32),Design!$B$31,Design!$B$32)*1000000</f>
        <v>4.9999999999999996E-2</v>
      </c>
      <c r="AX12" s="240">
        <f t="shared" ca="1" si="13"/>
        <v>1.0229924054317048</v>
      </c>
      <c r="AY12" s="240">
        <f t="shared" ca="1" si="14"/>
        <v>0.73124845520521498</v>
      </c>
      <c r="AZ12" s="240">
        <f ca="1">AP12^2*Design!$B$40/1000*(1+(BC12-25)*(Constants!$C$31/100))</f>
        <v>0.11509008982789568</v>
      </c>
      <c r="BA12" s="240">
        <f>0.5*Snubber!$B$16/1000000000000*$AQ$2^2*Design!$B$32*1000000</f>
        <v>0.12032000000000001</v>
      </c>
      <c r="BB12" s="241">
        <f ca="1">$A12+AY12*Design!$B$19</f>
        <v>66.681161946697245</v>
      </c>
      <c r="BC12" s="241">
        <f ca="1">AX12*Design!$C$12+$A12</f>
        <v>59.781741784677962</v>
      </c>
      <c r="BD12" s="241">
        <f ca="1">Constants!$D$19+Constants!$D$19*Constants!$C$20/100*(BC12-25)</f>
        <v>99.030854941177054</v>
      </c>
      <c r="BE12" s="240">
        <f ca="1">(1-Constants!$C$17/1000000000*Design!$B$32*1000000) * ($AQ$2+AQ12-AP12*BD12/1000) - (AQ12+AP12*Design!$B$40/1000)</f>
        <v>13.625953152505719</v>
      </c>
      <c r="BF12" s="240">
        <f ca="1">IF(BE12&gt;Design!$C$28,Design!$C$28,BE12)</f>
        <v>3.3239005736137672</v>
      </c>
      <c r="BG12" s="240">
        <f t="shared" ca="1" si="15"/>
        <v>1.9896509504648154</v>
      </c>
      <c r="BH12" s="240">
        <f t="shared" ca="1" si="16"/>
        <v>7.478776290630976</v>
      </c>
      <c r="BI12" s="272">
        <f t="shared" ca="1" si="17"/>
        <v>78.986468398583256</v>
      </c>
    </row>
    <row r="13" spans="1:61" s="163" customFormat="1" ht="12.75">
      <c r="A13" s="155">
        <v>25</v>
      </c>
      <c r="B13" s="275">
        <f t="shared" si="18"/>
        <v>2.5</v>
      </c>
      <c r="C13" s="157">
        <f ca="1">FORECAST(B13, OFFSET(Design!$C$15:$C$17,MATCH(B13,Design!$B$15:$B$17,1)-1,0,2), OFFSET(Design!$B$15:$B$17,MATCH(B13,Design!$B$15:$B$17,1)-1,0,2))+(N13-25)*Design!$B$18/1000</f>
        <v>0.43901687763771624</v>
      </c>
      <c r="D13" s="216">
        <f ca="1">IF(100*(Design!$C$28+C13+B13*IF(ISBLANK(Design!$B$40),Constants!$C$6,Design!$B$40)/1000*(1+Constants!$C$31/100*(O13-25)))/($C$2+C13-B13*P13/1000)&gt;Design!$C$35,Design!$C$35,100*(Design!$C$28+C13+B13*IF(ISBLANK(Design!$B$40),Constants!$C$6,Design!$B$40)/1000*(1+Constants!$C$31/100*(O13-25)))/($C$2+C13-B13*P13/1000))</f>
        <v>46.478303750038222</v>
      </c>
      <c r="E13" s="158">
        <f ca="1">IF(($C$2-B13*IF(ISBLANK(Design!$B$40),Constants!$C$6,Design!$B$40)/1000*(1+Constants!$C$31/100*(O13-25))-Design!$C$28) / (IF(ISBLANK(Design!$B$39),Design!$B$38,Design!$B$39)/1000000) * D13/100/(IF(ISBLANK(Design!$B$32),Design!$B$31,Design!$B$32)*1000000)&lt;0,0,($C$2-B13*IF(ISBLANK(Design!$B$40),Constants!$C$6,Design!$B$40)/1000*(1+Constants!$C$31/100*(O13-25))-Design!$C$28) / (IF(ISBLANK(Design!$B$39),Design!$B$38,Design!$B$39)/1000000) * D13/100/(IF(ISBLANK(Design!$B$32),Design!$B$31,Design!$B$32)*1000000))</f>
        <v>0.48826957310318642</v>
      </c>
      <c r="F13" s="208">
        <f>$C$2*Constants!$C$18/1000+IF(ISBLANK(Design!$B$32),Design!$B$31,Design!$B$32)*1000000*Constants!$D$22/1000000000*($C$2-Constants!$C$21)</f>
        <v>5.3999999999999999E-2</v>
      </c>
      <c r="G13" s="208">
        <f>$C$2*B13*($C$2/(Constants!$C$23*1000000000)*IF(ISBLANK(Design!$B$32),Design!$B$31,Design!$B$32)*1000000/2+$C$2/(Constants!$C$24*1000000000)*IF(ISBLANK(Design!$B$32),Design!$B$31,Design!$B$32)*1000000/2)</f>
        <v>0.19348370927318295</v>
      </c>
      <c r="H13" s="208">
        <f t="shared" ca="1" si="0"/>
        <v>0.26493185751450998</v>
      </c>
      <c r="I13" s="208">
        <f>Constants!$D$22/1000000000*Constants!$C$21*IF(ISBLANK(Design!$B$32),Design!$B$31,Design!$B$32)*1000000</f>
        <v>4.9999999999999996E-2</v>
      </c>
      <c r="J13" s="208">
        <f t="shared" ca="1" si="1"/>
        <v>0.562415566787693</v>
      </c>
      <c r="K13" s="208">
        <f t="shared" ca="1" si="2"/>
        <v>0.58742319933831211</v>
      </c>
      <c r="L13" s="208">
        <f ca="1">B13^2*Design!$B$40/1000*(1+(O13-25)*(Constants!$C$31/100))</f>
        <v>0.13439374600427145</v>
      </c>
      <c r="M13" s="208">
        <f>0.5*Snubber!$B$16/1000000000000*$C$2^2*Design!$B$32*1000000</f>
        <v>3.0080000000000003E-2</v>
      </c>
      <c r="N13" s="209">
        <f ca="1">$A13+K13*Design!$B$19</f>
        <v>58.483122362283787</v>
      </c>
      <c r="O13" s="209">
        <f ca="1">J13*Design!$C$12+A13</f>
        <v>44.122129270781564</v>
      </c>
      <c r="P13" s="209">
        <f ca="1">Constants!$D$19+Constants!$D$19*Constants!$C$20/100*(O13-25)</f>
        <v>90.912911813973167</v>
      </c>
      <c r="Q13" s="208">
        <f ca="1">(1-Constants!$C$17/1000000000*Design!$B$32*1000000) * ($C$2+C13-B13*P13/1000) - (C13+B13*Design!$B$40/1000)</f>
        <v>6.6551922227117046</v>
      </c>
      <c r="R13" s="208">
        <f ca="1">IF(Q13&gt;Design!$C$28,Design!$C$28,Q13)</f>
        <v>3.3239005736137672</v>
      </c>
      <c r="S13" s="208">
        <f t="shared" ca="1" si="3"/>
        <v>1.3143125121302768</v>
      </c>
      <c r="T13" s="208">
        <f t="shared" ca="1" si="4"/>
        <v>8.3097514340344176</v>
      </c>
      <c r="U13" s="265">
        <f t="shared" ca="1" si="5"/>
        <v>86.343476939863365</v>
      </c>
      <c r="V13" s="224">
        <f t="shared" si="19"/>
        <v>2.5</v>
      </c>
      <c r="W13" s="159">
        <f ca="1">FORECAST(V13, OFFSET(Design!$C$15:$C$17,MATCH(V13,Design!$B$15:$B$17,1)-1,0,2), OFFSET(Design!$B$15:$B$17,MATCH(V13,Design!$B$15:$B$17,1)-1,0,2))+(AH13-25)*Design!$B$18/1000</f>
        <v>0.4303352209067462</v>
      </c>
      <c r="X13" s="225">
        <f ca="1">IF(100*(Design!$C$28+W13+V13*IF(ISBLANK(Design!$B$40),Constants!$C$6,Design!$B$40)/1000*(1+Constants!$C$31/100*(AI13-25)))/($W$2+W13-V13*AJ13/1000)&gt;Design!$C$35,Design!$C$35,100*(Design!$C$28+W13+V13*IF(ISBLANK(Design!$B$40),Constants!$C$6,Design!$B$40)/1000*(1+Constants!$C$31/100*(AI13-25)))/($W$2+W13-V13*AJ13/1000))</f>
        <v>31.241234218324557</v>
      </c>
      <c r="Y13" s="160">
        <f ca="1">($W$2-V13*IF(ISBLANK(Design!$B$40),Constants!$C$6,Design!$B$40)/1000*(1+Constants!$C$31/100*(AI13-25))-Design!$C$28) / (IF(ISBLANK(Design!$B$39),Design!$B$38,Design!$B$39)/1000000) * X13/100/(IF(ISBLANK(Design!$B$32),Design!$B$31,Design!$B$32)*1000000)</f>
        <v>0.61210859118947558</v>
      </c>
      <c r="Z13" s="226">
        <f>$W$2*Constants!$C$18/1000+IF(ISBLANK(Design!$B$32),Design!$B$31,Design!$B$32)*1000000*Constants!$D$22/1000000000*($W$2-Constants!$C$21)</f>
        <v>0.10600000000000001</v>
      </c>
      <c r="AA13" s="226">
        <f>$W$2*V13*($W$2/(Constants!$C$23*1000000000)*IF(ISBLANK(Design!$B$32),Design!$B$31,Design!$B$32)*1000000/2+$W$2/(Constants!$C$24*1000000000)*IF(ISBLANK(Design!$B$32),Design!$B$31,Design!$B$32)*1000000/2)</f>
        <v>0.43533834586466164</v>
      </c>
      <c r="AB13" s="226">
        <f t="shared" ca="1" si="6"/>
        <v>0.1858289576634447</v>
      </c>
      <c r="AC13" s="226">
        <f>Constants!$D$22/1000000000*Constants!$C$21*IF(ISBLANK(Design!$B$32),Design!$B$31,Design!$B$32)*1000000</f>
        <v>4.9999999999999996E-2</v>
      </c>
      <c r="AD13" s="226">
        <f t="shared" ca="1" si="7"/>
        <v>0.77716730352810637</v>
      </c>
      <c r="AE13" s="226">
        <f t="shared" ca="1" si="8"/>
        <v>0.739732966548313</v>
      </c>
      <c r="AF13" s="226">
        <f ca="1">V13^2*Design!$B$40/1000*(1+(AI13-25)*(Constants!$C$31/100))</f>
        <v>0.13798063688717821</v>
      </c>
      <c r="AG13" s="226">
        <f>0.5*Snubber!$B$16/1000000000000*$W$2^2*Design!$B$32*1000000</f>
        <v>6.7680000000000004E-2</v>
      </c>
      <c r="AH13" s="227">
        <f ca="1">$A13+AE13*Design!$B$19</f>
        <v>67.164779093253841</v>
      </c>
      <c r="AI13" s="227">
        <f ca="1">AD13*Design!$C$12+$A13</f>
        <v>51.423688319955616</v>
      </c>
      <c r="AJ13" s="227">
        <f ca="1">Constants!$D$19+Constants!$D$19*Constants!$C$20/100*(AI13-25)</f>
        <v>94.698040025064998</v>
      </c>
      <c r="AK13" s="226">
        <f ca="1">(1-Constants!$C$17/1000000000*Design!$B$32*1000000) * ($W$2+W13-V13*AJ13/1000) - (W13+V13*Design!$B$40/1000)</f>
        <v>10.128088184227607</v>
      </c>
      <c r="AL13" s="226">
        <f ca="1">IF(AK13&gt;Design!$C$28,Design!$C$28,AK13)</f>
        <v>3.3239005736137672</v>
      </c>
      <c r="AM13" s="226">
        <f t="shared" ca="1" si="9"/>
        <v>1.7225609069635974</v>
      </c>
      <c r="AN13" s="226">
        <f t="shared" ca="1" si="10"/>
        <v>8.3097514340344176</v>
      </c>
      <c r="AO13" s="269">
        <f t="shared" ca="1" si="11"/>
        <v>82.829871634636163</v>
      </c>
      <c r="AP13" s="238">
        <f t="shared" si="20"/>
        <v>2.5</v>
      </c>
      <c r="AQ13" s="161">
        <f ca="1">FORECAST(AP13, OFFSET(Design!$C$15:$C$17,MATCH(AP13,Design!$B$15:$B$17,1)-1,0,2), OFFSET(Design!$B$15:$B$17,MATCH(AP13,Design!$B$15:$B$17,1)-1,0,2))+(BB13-25)*Design!$B$18/1000</f>
        <v>0.42607742792761083</v>
      </c>
      <c r="AR13" s="239">
        <f ca="1">IF(100*(Design!$C$28+AQ13+AP13*IF(ISBLANK(Design!$B$40),Constants!$C$6,Design!$B$40)/1000*(1+Constants!$C$31/100*(BC13-25)))/($AQ$2+AQ13-AP13*BD13/1000)&gt;Design!$C$35,Design!$C$35,100*(Design!$C$28+AQ13+AP13*IF(ISBLANK(Design!$B$40),Constants!$C$6,Design!$B$40)/1000*(1+Constants!$C$31/100*(BC13-25)))/($AQ$2+AQ13-AP13*BD13/1000))</f>
        <v>23.541494047166129</v>
      </c>
      <c r="AS13" s="162">
        <f ca="1">($AQ$2-AP13*IF(ISBLANK(Design!$B$40),Constants!$C$6,Design!$B$40)/1000*(1+Constants!$C$31/100*(BC13-25))-Design!$C$28) / (IF(ISBLANK(Design!$B$39),Design!$B$38,Design!$B$39)/1000000) * AR13/100/(IF(ISBLANK(Design!$B$32),Design!$B$31,Design!$B$32)*1000000)</f>
        <v>0.67513478178660935</v>
      </c>
      <c r="AT13" s="240">
        <f>$AQ$2*Constants!$C$18/1000+IF(ISBLANK(Design!$B$32),Design!$B$31,Design!$B$32)*1000000*Constants!$D$22/1000000000*($AQ$2-Constants!$C$21)</f>
        <v>0.158</v>
      </c>
      <c r="AU13" s="240">
        <f>$AQ$2*AP13*($AQ$2/(Constants!$C$23*1000000000)*IF(ISBLANK(Design!$B$32),Design!$B$31,Design!$B$32)*1000000/2+$AQ$2/(Constants!$C$24*1000000000)*IF(ISBLANK(Design!$B$32),Design!$B$31,Design!$B$32)*1000000/2)</f>
        <v>0.77393483709273181</v>
      </c>
      <c r="AV13" s="240">
        <f t="shared" ca="1" si="12"/>
        <v>0.1494212320735322</v>
      </c>
      <c r="AW13" s="240">
        <f>Constants!$D$22/1000000000*Constants!$C$21*IF(ISBLANK(Design!$B$32),Design!$B$31,Design!$B$32)*1000000</f>
        <v>4.9999999999999996E-2</v>
      </c>
      <c r="AX13" s="240">
        <f t="shared" ca="1" si="13"/>
        <v>1.1313560691662641</v>
      </c>
      <c r="AY13" s="240">
        <f t="shared" ca="1" si="14"/>
        <v>0.81443108898928451</v>
      </c>
      <c r="AZ13" s="240">
        <f ca="1">AP13^2*Design!$B$40/1000*(1+(BC13-25)*(Constants!$C$31/100))</f>
        <v>0.14389647474524953</v>
      </c>
      <c r="BA13" s="240">
        <f>0.5*Snubber!$B$16/1000000000000*$AQ$2^2*Design!$B$32*1000000</f>
        <v>0.12032000000000001</v>
      </c>
      <c r="BB13" s="241">
        <f ca="1">$A13+AY13*Design!$B$19</f>
        <v>71.422572072389215</v>
      </c>
      <c r="BC13" s="241">
        <f ca="1">AX13*Design!$C$12+$A13</f>
        <v>63.466106351652982</v>
      </c>
      <c r="BD13" s="241">
        <f ca="1">Constants!$D$19+Constants!$D$19*Constants!$C$20/100*(BC13-25)</f>
        <v>100.94082953269691</v>
      </c>
      <c r="BE13" s="240">
        <f ca="1">(1-Constants!$C$17/1000000000*Design!$B$32*1000000) * ($AQ$2+AQ13-AP13*BD13/1000) - (AQ13+AP13*Design!$B$40/1000)</f>
        <v>13.595063630135794</v>
      </c>
      <c r="BF13" s="240">
        <f ca="1">IF(BE13&gt;Design!$C$28,Design!$C$28,BE13)</f>
        <v>3.3239005736137672</v>
      </c>
      <c r="BG13" s="240">
        <f t="shared" ca="1" si="15"/>
        <v>2.2100036329007979</v>
      </c>
      <c r="BH13" s="240">
        <f t="shared" ca="1" si="16"/>
        <v>8.3097514340344176</v>
      </c>
      <c r="BI13" s="272">
        <f t="shared" ca="1" si="17"/>
        <v>78.991871779913495</v>
      </c>
    </row>
    <row r="14" spans="1:61" s="163" customFormat="1" ht="12.75">
      <c r="A14" s="155">
        <v>25</v>
      </c>
      <c r="B14" s="275">
        <f t="shared" si="18"/>
        <v>2.75</v>
      </c>
      <c r="C14" s="157">
        <f ca="1">FORECAST(B14, OFFSET(Design!$C$15:$C$17,MATCH(B14,Design!$B$15:$B$17,1)-1,0,2), OFFSET(Design!$B$15:$B$17,MATCH(B14,Design!$B$15:$B$17,1)-1,0,2))+(N14-25)*Design!$B$18/1000</f>
        <v>0.44184921577598929</v>
      </c>
      <c r="D14" s="216">
        <f ca="1">IF(100*(Design!$C$28+C14+B14*IF(ISBLANK(Design!$B$40),Constants!$C$6,Design!$B$40)/1000*(1+Constants!$C$31/100*(O14-25)))/($C$2+C14-B14*P14/1000)&gt;Design!$C$35,Design!$C$35,100*(Design!$C$28+C14+B14*IF(ISBLANK(Design!$B$40),Constants!$C$6,Design!$B$40)/1000*(1+Constants!$C$31/100*(O14-25)))/($C$2+C14-B14*P14/1000))</f>
        <v>46.721258478382062</v>
      </c>
      <c r="E14" s="158">
        <f ca="1">IF(($C$2-B14*IF(ISBLANK(Design!$B$40),Constants!$C$6,Design!$B$40)/1000*(1+Constants!$C$31/100*(O14-25))-Design!$C$28) / (IF(ISBLANK(Design!$B$39),Design!$B$38,Design!$B$39)/1000000) * D14/100/(IF(ISBLANK(Design!$B$32),Design!$B$31,Design!$B$32)*1000000)&lt;0,0,($C$2-B14*IF(ISBLANK(Design!$B$40),Constants!$C$6,Design!$B$40)/1000*(1+Constants!$C$31/100*(O14-25))-Design!$C$28) / (IF(ISBLANK(Design!$B$39),Design!$B$38,Design!$B$39)/1000000) * D14/100/(IF(ISBLANK(Design!$B$32),Design!$B$31,Design!$B$32)*1000000))</f>
        <v>0.49018740408791261</v>
      </c>
      <c r="F14" s="208">
        <f>$C$2*Constants!$C$18/1000+IF(ISBLANK(Design!$B$32),Design!$B$31,Design!$B$32)*1000000*Constants!$D$22/1000000000*($C$2-Constants!$C$21)</f>
        <v>5.3999999999999999E-2</v>
      </c>
      <c r="G14" s="208">
        <f>$C$2*B14*($C$2/(Constants!$C$23*1000000000)*IF(ISBLANK(Design!$B$32),Design!$B$31,Design!$B$32)*1000000/2+$C$2/(Constants!$C$24*1000000000)*IF(ISBLANK(Design!$B$32),Design!$B$31,Design!$B$32)*1000000/2)</f>
        <v>0.21283208020050126</v>
      </c>
      <c r="H14" s="208">
        <f t="shared" ca="1" si="0"/>
        <v>0.3271668438782282</v>
      </c>
      <c r="I14" s="208">
        <f>Constants!$D$22/1000000000*Constants!$C$21*IF(ISBLANK(Design!$B$32),Design!$B$31,Design!$B$32)*1000000</f>
        <v>4.9999999999999996E-2</v>
      </c>
      <c r="J14" s="208">
        <f t="shared" ca="1" si="1"/>
        <v>0.6439989240787295</v>
      </c>
      <c r="K14" s="208">
        <f t="shared" ca="1" si="2"/>
        <v>0.64738217936860942</v>
      </c>
      <c r="L14" s="208">
        <f ca="1">B14^2*Design!$B$40/1000*(1+(O14-25)*(Constants!$C$31/100))</f>
        <v>0.16426523435560419</v>
      </c>
      <c r="M14" s="208">
        <f>0.5*Snubber!$B$16/1000000000000*$C$2^2*Design!$B$32*1000000</f>
        <v>3.0080000000000003E-2</v>
      </c>
      <c r="N14" s="209">
        <f ca="1">$A14+K14*Design!$B$19</f>
        <v>61.900784224010735</v>
      </c>
      <c r="O14" s="209">
        <f ca="1">J14*Design!$C$12+A14</f>
        <v>46.8959634186768</v>
      </c>
      <c r="P14" s="209">
        <f ca="1">Constants!$D$19+Constants!$D$19*Constants!$C$20/100*(O14-25)</f>
        <v>92.350867436242055</v>
      </c>
      <c r="Q14" s="208">
        <f ca="1">(1-Constants!$C$17/1000000000*Design!$B$32*1000000) * ($C$2+C14-B14*P14/1000) - (C14+B14*Design!$B$40/1000)</f>
        <v>6.6266101516079123</v>
      </c>
      <c r="R14" s="208">
        <f ca="1">IF(Q14&gt;Design!$C$28,Design!$C$28,Q14)</f>
        <v>3.3239005736137672</v>
      </c>
      <c r="S14" s="208">
        <f t="shared" ca="1" si="3"/>
        <v>1.4857263378029433</v>
      </c>
      <c r="T14" s="208">
        <f t="shared" ca="1" si="4"/>
        <v>9.1407265774378601</v>
      </c>
      <c r="U14" s="265">
        <f t="shared" ca="1" si="5"/>
        <v>86.018605176595997</v>
      </c>
      <c r="V14" s="224">
        <f t="shared" si="19"/>
        <v>2.75</v>
      </c>
      <c r="W14" s="159">
        <f ca="1">FORECAST(V14, OFFSET(Design!$C$15:$C$17,MATCH(V14,Design!$B$15:$B$17,1)-1,0,2), OFFSET(Design!$B$15:$B$17,MATCH(V14,Design!$B$15:$B$17,1)-1,0,2))+(AH14-25)*Design!$B$18/1000</f>
        <v>0.43225227763444218</v>
      </c>
      <c r="X14" s="225">
        <f ca="1">IF(100*(Design!$C$28+W14+V14*IF(ISBLANK(Design!$B$40),Constants!$C$6,Design!$B$40)/1000*(1+Constants!$C$31/100*(AI14-25)))/($W$2+W14-V14*AJ14/1000)&gt;Design!$C$35,Design!$C$35,100*(Design!$C$28+W14+V14*IF(ISBLANK(Design!$B$40),Constants!$C$6,Design!$B$40)/1000*(1+Constants!$C$31/100*(AI14-25)))/($W$2+W14-V14*AJ14/1000))</f>
        <v>31.374291660540795</v>
      </c>
      <c r="Y14" s="160">
        <f ca="1">($W$2-V14*IF(ISBLANK(Design!$B$40),Constants!$C$6,Design!$B$40)/1000*(1+Constants!$C$31/100*(AI14-25))-Design!$C$28) / (IF(ISBLANK(Design!$B$39),Design!$B$38,Design!$B$39)/1000000) * X14/100/(IF(ISBLANK(Design!$B$32),Design!$B$31,Design!$B$32)*1000000)</f>
        <v>0.61427645221968652</v>
      </c>
      <c r="Z14" s="226">
        <f>$W$2*Constants!$C$18/1000+IF(ISBLANK(Design!$B$32),Design!$B$31,Design!$B$32)*1000000*Constants!$D$22/1000000000*($W$2-Constants!$C$21)</f>
        <v>0.10600000000000001</v>
      </c>
      <c r="AA14" s="226">
        <f>$W$2*V14*($W$2/(Constants!$C$23*1000000000)*IF(ISBLANK(Design!$B$32),Design!$B$31,Design!$B$32)*1000000/2+$W$2/(Constants!$C$24*1000000000)*IF(ISBLANK(Design!$B$32),Design!$B$31,Design!$B$32)*1000000/2)</f>
        <v>0.47887218045112778</v>
      </c>
      <c r="AB14" s="226">
        <f t="shared" ca="1" si="6"/>
        <v>0.22927508838406371</v>
      </c>
      <c r="AC14" s="226">
        <f>Constants!$D$22/1000000000*Constants!$C$21*IF(ISBLANK(Design!$B$32),Design!$B$31,Design!$B$32)*1000000</f>
        <v>4.9999999999999996E-2</v>
      </c>
      <c r="AD14" s="226">
        <f t="shared" ca="1" si="7"/>
        <v>0.86414726883519155</v>
      </c>
      <c r="AE14" s="226">
        <f t="shared" ca="1" si="8"/>
        <v>0.81574951518522487</v>
      </c>
      <c r="AF14" s="226">
        <f ca="1">V14^2*Design!$B$40/1000*(1+(AI14-25)*(Constants!$C$31/100))</f>
        <v>0.16871443790684093</v>
      </c>
      <c r="AG14" s="226">
        <f>0.5*Snubber!$B$16/1000000000000*$W$2^2*Design!$B$32*1000000</f>
        <v>6.7680000000000004E-2</v>
      </c>
      <c r="AH14" s="227">
        <f ca="1">$A14+AE14*Design!$B$19</f>
        <v>71.49772236555782</v>
      </c>
      <c r="AI14" s="227">
        <f ca="1">AD14*Design!$C$12+$A14</f>
        <v>54.381007140396513</v>
      </c>
      <c r="AJ14" s="227">
        <f ca="1">Constants!$D$19+Constants!$D$19*Constants!$C$20/100*(AI14-25)</f>
        <v>96.231114101581554</v>
      </c>
      <c r="AK14" s="226">
        <f ca="1">(1-Constants!$C$17/1000000000*Design!$B$32*1000000) * ($W$2+W14-V14*AJ14/1000) - (W14+V14*Design!$B$40/1000)</f>
        <v>10.09857426341949</v>
      </c>
      <c r="AL14" s="226">
        <f ca="1">IF(AK14&gt;Design!$C$28,Design!$C$28,AK14)</f>
        <v>3.3239005736137672</v>
      </c>
      <c r="AM14" s="226">
        <f t="shared" ca="1" si="9"/>
        <v>1.9162912219272574</v>
      </c>
      <c r="AN14" s="226">
        <f t="shared" ca="1" si="10"/>
        <v>9.1407265774378601</v>
      </c>
      <c r="AO14" s="269">
        <f t="shared" ca="1" si="11"/>
        <v>82.669004819389102</v>
      </c>
      <c r="AP14" s="238">
        <f t="shared" si="20"/>
        <v>2.75</v>
      </c>
      <c r="AQ14" s="161">
        <f ca="1">FORECAST(AP14, OFFSET(Design!$C$15:$C$17,MATCH(AP14,Design!$B$15:$B$17,1)-1,0,2), OFFSET(Design!$B$15:$B$17,MATCH(AP14,Design!$B$15:$B$17,1)-1,0,2))+(BB14-25)*Design!$B$18/1000</f>
        <v>0.42756854238889486</v>
      </c>
      <c r="AR14" s="239">
        <f ca="1">IF(100*(Design!$C$28+AQ14+AP14*IF(ISBLANK(Design!$B$40),Constants!$C$6,Design!$B$40)/1000*(1+Constants!$C$31/100*(BC14-25)))/($AQ$2+AQ14-AP14*BD14/1000)&gt;Design!$C$35,Design!$C$35,100*(Design!$C$28+AQ14+AP14*IF(ISBLANK(Design!$B$40),Constants!$C$6,Design!$B$40)/1000*(1+Constants!$C$31/100*(BC14-25)))/($AQ$2+AQ14-AP14*BD14/1000))</f>
        <v>23.634120937987873</v>
      </c>
      <c r="AS14" s="162">
        <f ca="1">($AQ$2-AP14*IF(ISBLANK(Design!$B$40),Constants!$C$6,Design!$B$40)/1000*(1+Constants!$C$31/100*(BC14-25))-Design!$C$28) / (IF(ISBLANK(Design!$B$39),Design!$B$38,Design!$B$39)/1000000) * AR14/100/(IF(ISBLANK(Design!$B$32),Design!$B$31,Design!$B$32)*1000000)</f>
        <v>0.67743745605405936</v>
      </c>
      <c r="AT14" s="240">
        <f>$AQ$2*Constants!$C$18/1000+IF(ISBLANK(Design!$B$32),Design!$B$31,Design!$B$32)*1000000*Constants!$D$22/1000000000*($AQ$2-Constants!$C$21)</f>
        <v>0.158</v>
      </c>
      <c r="AU14" s="240">
        <f>$AQ$2*AP14*($AQ$2/(Constants!$C$23*1000000000)*IF(ISBLANK(Design!$B$32),Design!$B$31,Design!$B$32)*1000000/2+$AQ$2/(Constants!$C$24*1000000000)*IF(ISBLANK(Design!$B$32),Design!$B$31,Design!$B$32)*1000000/2)</f>
        <v>0.85132832080200505</v>
      </c>
      <c r="AV14" s="240">
        <f t="shared" ca="1" si="12"/>
        <v>0.18490076137493175</v>
      </c>
      <c r="AW14" s="240">
        <f>Constants!$D$22/1000000000*Constants!$C$21*IF(ISBLANK(Design!$B$32),Design!$B$31,Design!$B$32)*1000000</f>
        <v>4.9999999999999996E-2</v>
      </c>
      <c r="AX14" s="240">
        <f t="shared" ca="1" si="13"/>
        <v>1.2442290821769368</v>
      </c>
      <c r="AY14" s="240">
        <f t="shared" ca="1" si="14"/>
        <v>0.89792030896675679</v>
      </c>
      <c r="AZ14" s="240">
        <f ca="1">AP14^2*Design!$B$40/1000*(1+(BC14-25)*(Constants!$C$31/100))</f>
        <v>0.17639590085652296</v>
      </c>
      <c r="BA14" s="240">
        <f>0.5*Snubber!$B$16/1000000000000*$AQ$2^2*Design!$B$32*1000000</f>
        <v>0.12032000000000001</v>
      </c>
      <c r="BB14" s="241">
        <f ca="1">$A14+AY14*Design!$B$19</f>
        <v>76.181457611105145</v>
      </c>
      <c r="BC14" s="241">
        <f ca="1">AX14*Design!$C$12+$A14</f>
        <v>67.303788794015844</v>
      </c>
      <c r="BD14" s="241">
        <f ca="1">Constants!$D$19+Constants!$D$19*Constants!$C$20/100*(BC14-25)</f>
        <v>102.93028411081781</v>
      </c>
      <c r="BE14" s="240">
        <f ca="1">(1-Constants!$C$17/1000000000*Design!$B$32*1000000) * ($AQ$2+AQ14-AP14*BD14/1000) - (AQ14+AP14*Design!$B$40/1000)</f>
        <v>13.563155384754308</v>
      </c>
      <c r="BF14" s="240">
        <f ca="1">IF(BE14&gt;Design!$C$28,Design!$C$28,BE14)</f>
        <v>3.3239005736137672</v>
      </c>
      <c r="BG14" s="240">
        <f t="shared" ca="1" si="15"/>
        <v>2.4388652920002167</v>
      </c>
      <c r="BH14" s="240">
        <f t="shared" ca="1" si="16"/>
        <v>9.1407265774378601</v>
      </c>
      <c r="BI14" s="272">
        <f t="shared" ca="1" si="17"/>
        <v>78.938244806044565</v>
      </c>
    </row>
    <row r="15" spans="1:61" s="163" customFormat="1" ht="12.75">
      <c r="A15" s="155">
        <v>25</v>
      </c>
      <c r="B15" s="275">
        <f t="shared" si="18"/>
        <v>3</v>
      </c>
      <c r="C15" s="157">
        <f ca="1">FORECAST(B15, OFFSET(Design!$C$15:$C$17,MATCH(B15,Design!$B$15:$B$17,1)-1,0,2), OFFSET(Design!$B$15:$B$17,MATCH(B15,Design!$B$15:$B$17,1)-1,0,2))+(N15-25)*Design!$B$18/1000</f>
        <v>0.44467937152497383</v>
      </c>
      <c r="D15" s="216">
        <f ca="1">IF(100*(Design!$C$28+C15+B15*IF(ISBLANK(Design!$B$40),Constants!$C$6,Design!$B$40)/1000*(1+Constants!$C$31/100*(O15-25)))/($C$2+C15-B15*P15/1000)&gt;Design!$C$35,Design!$C$35,100*(Design!$C$28+C15+B15*IF(ISBLANK(Design!$B$40),Constants!$C$6,Design!$B$40)/1000*(1+Constants!$C$31/100*(O15-25)))/($C$2+C15-B15*P15/1000))</f>
        <v>46.974569976534561</v>
      </c>
      <c r="E15" s="158">
        <f ca="1">IF(($C$2-B15*IF(ISBLANK(Design!$B$40),Constants!$C$6,Design!$B$40)/1000*(1+Constants!$C$31/100*(O15-25))-Design!$C$28) / (IF(ISBLANK(Design!$B$39),Design!$B$38,Design!$B$39)/1000000) * D15/100/(IF(ISBLANK(Design!$B$32),Design!$B$31,Design!$B$32)*1000000)&lt;0,0,($C$2-B15*IF(ISBLANK(Design!$B$40),Constants!$C$6,Design!$B$40)/1000*(1+Constants!$C$31/100*(O15-25))-Design!$C$28) / (IF(ISBLANK(Design!$B$39),Design!$B$38,Design!$B$39)/1000000) * D15/100/(IF(ISBLANK(Design!$B$32),Design!$B$31,Design!$B$32)*1000000))</f>
        <v>0.49218811840897164</v>
      </c>
      <c r="F15" s="208">
        <f>$C$2*Constants!$C$18/1000+IF(ISBLANK(Design!$B$32),Design!$B$31,Design!$B$32)*1000000*Constants!$D$22/1000000000*($C$2-Constants!$C$21)</f>
        <v>5.3999999999999999E-2</v>
      </c>
      <c r="G15" s="208">
        <f>$C$2*B15*($C$2/(Constants!$C$23*1000000000)*IF(ISBLANK(Design!$B$32),Design!$B$31,Design!$B$32)*1000000/2+$C$2/(Constants!$C$24*1000000000)*IF(ISBLANK(Design!$B$32),Design!$B$31,Design!$B$32)*1000000/2)</f>
        <v>0.23218045112781954</v>
      </c>
      <c r="H15" s="208">
        <f t="shared" ca="1" si="0"/>
        <v>0.39804711921516978</v>
      </c>
      <c r="I15" s="208">
        <f>Constants!$D$22/1000000000*Constants!$C$21*IF(ISBLANK(Design!$B$32),Design!$B$31,Design!$B$32)*1000000</f>
        <v>4.9999999999999996E-2</v>
      </c>
      <c r="J15" s="208">
        <f t="shared" ca="1" si="1"/>
        <v>0.73422757034298936</v>
      </c>
      <c r="K15" s="208">
        <f t="shared" ca="1" si="2"/>
        <v>0.70737944693028287</v>
      </c>
      <c r="L15" s="208">
        <f ca="1">B15^2*Design!$B$40/1000*(1+(O15-25)*(Constants!$C$31/100))</f>
        <v>0.19765934783086145</v>
      </c>
      <c r="M15" s="208">
        <f>0.5*Snubber!$B$16/1000000000000*$C$2^2*Design!$B$32*1000000</f>
        <v>3.0080000000000003E-2</v>
      </c>
      <c r="N15" s="209">
        <f ca="1">$A15+K15*Design!$B$19</f>
        <v>65.320628475026126</v>
      </c>
      <c r="O15" s="209">
        <f ca="1">J15*Design!$C$12+A15</f>
        <v>49.963737391661638</v>
      </c>
      <c r="P15" s="209">
        <f ca="1">Constants!$D$19+Constants!$D$19*Constants!$C$20/100*(O15-25)</f>
        <v>93.941201463837388</v>
      </c>
      <c r="Q15" s="208">
        <f ca="1">(1-Constants!$C$17/1000000000*Design!$B$32*1000000) * ($C$2+C15-B15*P15/1000) - (C15+B15*Design!$B$40/1000)</f>
        <v>6.5970051458811376</v>
      </c>
      <c r="R15" s="208">
        <f ca="1">IF(Q15&gt;Design!$C$28,Design!$C$28,Q15)</f>
        <v>3.3239005736137672</v>
      </c>
      <c r="S15" s="208">
        <f t="shared" ca="1" si="3"/>
        <v>1.6693463651041338</v>
      </c>
      <c r="T15" s="208">
        <f t="shared" ca="1" si="4"/>
        <v>9.9717017208413026</v>
      </c>
      <c r="U15" s="265">
        <f t="shared" ca="1" si="5"/>
        <v>85.659827596455145</v>
      </c>
      <c r="V15" s="224">
        <f t="shared" si="19"/>
        <v>3</v>
      </c>
      <c r="W15" s="159">
        <f ca="1">FORECAST(V15, OFFSET(Design!$C$15:$C$17,MATCH(V15,Design!$B$15:$B$17,1)-1,0,2), OFFSET(Design!$B$15:$B$17,MATCH(V15,Design!$B$15:$B$17,1)-1,0,2))+(AH15-25)*Design!$B$18/1000</f>
        <v>0.43415422502047918</v>
      </c>
      <c r="X15" s="225">
        <f ca="1">IF(100*(Design!$C$28+W15+V15*IF(ISBLANK(Design!$B$40),Constants!$C$6,Design!$B$40)/1000*(1+Constants!$C$31/100*(AI15-25)))/($W$2+W15-V15*AJ15/1000)&gt;Design!$C$35,Design!$C$35,100*(Design!$C$28+W15+V15*IF(ISBLANK(Design!$B$40),Constants!$C$6,Design!$B$40)/1000*(1+Constants!$C$31/100*(AI15-25)))/($W$2+W15-V15*AJ15/1000))</f>
        <v>31.511961373517636</v>
      </c>
      <c r="Y15" s="160">
        <f ca="1">($W$2-V15*IF(ISBLANK(Design!$B$40),Constants!$C$6,Design!$B$40)/1000*(1+Constants!$C$31/100*(AI15-25))-Design!$C$28) / (IF(ISBLANK(Design!$B$39),Design!$B$38,Design!$B$39)/1000000) * X15/100/(IF(ISBLANK(Design!$B$32),Design!$B$31,Design!$B$32)*1000000)</f>
        <v>0.61651916627452252</v>
      </c>
      <c r="Z15" s="226">
        <f>$W$2*Constants!$C$18/1000+IF(ISBLANK(Design!$B$32),Design!$B$31,Design!$B$32)*1000000*Constants!$D$22/1000000000*($W$2-Constants!$C$21)</f>
        <v>0.10600000000000001</v>
      </c>
      <c r="AA15" s="226">
        <f>$W$2*V15*($W$2/(Constants!$C$23*1000000000)*IF(ISBLANK(Design!$B$32),Design!$B$31,Design!$B$32)*1000000/2+$W$2/(Constants!$C$24*1000000000)*IF(ISBLANK(Design!$B$32),Design!$B$31,Design!$B$32)*1000000/2)</f>
        <v>0.52240601503759398</v>
      </c>
      <c r="AB15" s="226">
        <f t="shared" ca="1" si="6"/>
        <v>0.27853412895364393</v>
      </c>
      <c r="AC15" s="226">
        <f>Constants!$D$22/1000000000*Constants!$C$21*IF(ISBLANK(Design!$B$32),Design!$B$31,Design!$B$32)*1000000</f>
        <v>4.9999999999999996E-2</v>
      </c>
      <c r="AD15" s="226">
        <f t="shared" ca="1" si="7"/>
        <v>0.95694014399123795</v>
      </c>
      <c r="AE15" s="226">
        <f t="shared" ca="1" si="8"/>
        <v>0.89203113999159289</v>
      </c>
      <c r="AF15" s="226">
        <f ca="1">V15^2*Design!$B$40/1000*(1+(AI15-25)*(Constants!$C$31/100))</f>
        <v>0.20301594156721964</v>
      </c>
      <c r="AG15" s="226">
        <f>0.5*Snubber!$B$16/1000000000000*$W$2^2*Design!$B$32*1000000</f>
        <v>6.7680000000000004E-2</v>
      </c>
      <c r="AH15" s="227">
        <f ca="1">$A15+AE15*Design!$B$19</f>
        <v>75.845774979520797</v>
      </c>
      <c r="AI15" s="227">
        <f ca="1">AD15*Design!$C$12+$A15</f>
        <v>57.535964895702094</v>
      </c>
      <c r="AJ15" s="227">
        <f ca="1">Constants!$D$19+Constants!$D$19*Constants!$C$20/100*(AI15-25)</f>
        <v>97.866644201931962</v>
      </c>
      <c r="AK15" s="226">
        <f ca="1">(1-Constants!$C$17/1000000000*Design!$B$32*1000000) * ($W$2+W15-V15*AJ15/1000) - (W15+V15*Design!$B$40/1000)</f>
        <v>10.068128009380297</v>
      </c>
      <c r="AL15" s="226">
        <f ca="1">IF(AK15&gt;Design!$C$28,Design!$C$28,AK15)</f>
        <v>3.3239005736137672</v>
      </c>
      <c r="AM15" s="226">
        <f t="shared" ca="1" si="9"/>
        <v>2.1196672255500504</v>
      </c>
      <c r="AN15" s="226">
        <f t="shared" ca="1" si="10"/>
        <v>9.9717017208413026</v>
      </c>
      <c r="AO15" s="269">
        <f t="shared" ca="1" si="11"/>
        <v>82.469584420524527</v>
      </c>
      <c r="AP15" s="238">
        <f t="shared" si="20"/>
        <v>3</v>
      </c>
      <c r="AQ15" s="161">
        <f ca="1">FORECAST(AP15, OFFSET(Design!$C$15:$C$17,MATCH(AP15,Design!$B$15:$B$17,1)-1,0,2), OFFSET(Design!$B$15:$B$17,MATCH(AP15,Design!$B$15:$B$17,1)-1,0,2))+(BB15-25)*Design!$B$18/1000</f>
        <v>0.42904344315733284</v>
      </c>
      <c r="AR15" s="239">
        <f ca="1">IF(100*(Design!$C$28+AQ15+AP15*IF(ISBLANK(Design!$B$40),Constants!$C$6,Design!$B$40)/1000*(1+Constants!$C$31/100*(BC15-25)))/($AQ$2+AQ15-AP15*BD15/1000)&gt;Design!$C$35,Design!$C$35,100*(Design!$C$28+AQ15+AP15*IF(ISBLANK(Design!$B$40),Constants!$C$6,Design!$B$40)/1000*(1+Constants!$C$31/100*(BC15-25)))/($AQ$2+AQ15-AP15*BD15/1000))</f>
        <v>23.730025062914805</v>
      </c>
      <c r="AS15" s="162">
        <f ca="1">($AQ$2-AP15*IF(ISBLANK(Design!$B$40),Constants!$C$6,Design!$B$40)/1000*(1+Constants!$C$31/100*(BC15-25))-Design!$C$28) / (IF(ISBLANK(Design!$B$39),Design!$B$38,Design!$B$39)/1000000) * AR15/100/(IF(ISBLANK(Design!$B$32),Design!$B$31,Design!$B$32)*1000000)</f>
        <v>0.67982101945368345</v>
      </c>
      <c r="AT15" s="240">
        <f>$AQ$2*Constants!$C$18/1000+IF(ISBLANK(Design!$B$32),Design!$B$31,Design!$B$32)*1000000*Constants!$D$22/1000000000*($AQ$2-Constants!$C$21)</f>
        <v>0.158</v>
      </c>
      <c r="AU15" s="240">
        <f>$AQ$2*AP15*($AQ$2/(Constants!$C$23*1000000000)*IF(ISBLANK(Design!$B$32),Design!$B$31,Design!$B$32)*1000000/2+$AQ$2/(Constants!$C$24*1000000000)*IF(ISBLANK(Design!$B$32),Design!$B$31,Design!$B$32)*1000000/2)</f>
        <v>0.92872180451127817</v>
      </c>
      <c r="AV15" s="240">
        <f t="shared" ca="1" si="12"/>
        <v>0.22521912851377374</v>
      </c>
      <c r="AW15" s="240">
        <f>Constants!$D$22/1000000000*Constants!$C$21*IF(ISBLANK(Design!$B$32),Design!$B$31,Design!$B$32)*1000000</f>
        <v>4.9999999999999996E-2</v>
      </c>
      <c r="AX15" s="240">
        <f t="shared" ca="1" si="13"/>
        <v>1.3619409330250518</v>
      </c>
      <c r="AY15" s="240">
        <f t="shared" ca="1" si="14"/>
        <v>0.98169397969591532</v>
      </c>
      <c r="AZ15" s="240">
        <f ca="1">AP15^2*Design!$B$40/1000*(1+(BC15-25)*(Constants!$C$31/100))</f>
        <v>0.21275685854474533</v>
      </c>
      <c r="BA15" s="240">
        <f>0.5*Snubber!$B$16/1000000000000*$AQ$2^2*Design!$B$32*1000000</f>
        <v>0.12032000000000001</v>
      </c>
      <c r="BB15" s="241">
        <f ca="1">$A15+AY15*Design!$B$19</f>
        <v>80.956556842667169</v>
      </c>
      <c r="BC15" s="241">
        <f ca="1">AX15*Design!$C$12+$A15</f>
        <v>71.305991722851758</v>
      </c>
      <c r="BD15" s="241">
        <f ca="1">Constants!$D$19+Constants!$D$19*Constants!$C$20/100*(BC15-25)</f>
        <v>105.00502610912636</v>
      </c>
      <c r="BE15" s="240">
        <f ca="1">(1-Constants!$C$17/1000000000*Design!$B$32*1000000) * ($AQ$2+AQ15-AP15*BD15/1000) - (AQ15+AP15*Design!$B$40/1000)</f>
        <v>13.530161234244725</v>
      </c>
      <c r="BF15" s="240">
        <f ca="1">IF(BE15&gt;Design!$C$28,Design!$C$28,BE15)</f>
        <v>3.3239005736137672</v>
      </c>
      <c r="BG15" s="240">
        <f t="shared" ca="1" si="15"/>
        <v>2.6767117712657122</v>
      </c>
      <c r="BH15" s="240">
        <f t="shared" ca="1" si="16"/>
        <v>9.9717017208413026</v>
      </c>
      <c r="BI15" s="272">
        <f t="shared" ca="1" si="17"/>
        <v>78.837569052149831</v>
      </c>
    </row>
    <row r="16" spans="1:61" s="163" customFormat="1" ht="12.75">
      <c r="A16" s="155">
        <v>25</v>
      </c>
      <c r="B16" s="275">
        <f t="shared" si="18"/>
        <v>3.25</v>
      </c>
      <c r="C16" s="157">
        <f ca="1">FORECAST(B16, OFFSET(Design!$C$15:$C$17,MATCH(B16,Design!$B$15:$B$17,1)-1,0,2), OFFSET(Design!$B$15:$B$17,MATCH(B16,Design!$B$15:$B$17,1)-1,0,2))+(N16-25)*Design!$B$18/1000</f>
        <v>0.44751098427959801</v>
      </c>
      <c r="D16" s="216">
        <f ca="1">IF(100*(Design!$C$28+C16+B16*IF(ISBLANK(Design!$B$40),Constants!$C$6,Design!$B$40)/1000*(1+Constants!$C$31/100*(O16-25)))/($C$2+C16-B16*P16/1000)&gt;Design!$C$35,Design!$C$35,100*(Design!$C$28+C16+B16*IF(ISBLANK(Design!$B$40),Constants!$C$6,Design!$B$40)/1000*(1+Constants!$C$31/100*(O16-25)))/($C$2+C16-B16*P16/1000))</f>
        <v>47.239720282222507</v>
      </c>
      <c r="E16" s="158">
        <f ca="1">IF(($C$2-B16*IF(ISBLANK(Design!$B$40),Constants!$C$6,Design!$B$40)/1000*(1+Constants!$C$31/100*(O16-25))-Design!$C$28) / (IF(ISBLANK(Design!$B$39),Design!$B$38,Design!$B$39)/1000000) * D16/100/(IF(ISBLANK(Design!$B$32),Design!$B$31,Design!$B$32)*1000000)&lt;0,0,($C$2-B16*IF(ISBLANK(Design!$B$40),Constants!$C$6,Design!$B$40)/1000*(1+Constants!$C$31/100*(O16-25))-Design!$C$28) / (IF(ISBLANK(Design!$B$39),Design!$B$38,Design!$B$39)/1000000) * D16/100/(IF(ISBLANK(Design!$B$32),Design!$B$31,Design!$B$32)*1000000))</f>
        <v>0.4942838214637108</v>
      </c>
      <c r="F16" s="208">
        <f>$C$2*Constants!$C$18/1000+IF(ISBLANK(Design!$B$32),Design!$B$31,Design!$B$32)*1000000*Constants!$D$22/1000000000*($C$2-Constants!$C$21)</f>
        <v>5.3999999999999999E-2</v>
      </c>
      <c r="G16" s="208">
        <f>$C$2*B16*($C$2/(Constants!$C$23*1000000000)*IF(ISBLANK(Design!$B$32),Design!$B$31,Design!$B$32)*1000000/2+$C$2/(Constants!$C$24*1000000000)*IF(ISBLANK(Design!$B$32),Design!$B$31,Design!$B$32)*1000000/2)</f>
        <v>0.25152882205513782</v>
      </c>
      <c r="H16" s="208">
        <f t="shared" ca="1" si="0"/>
        <v>0.47842935171534123</v>
      </c>
      <c r="I16" s="208">
        <f>Constants!$D$22/1000000000*Constants!$C$21*IF(ISBLANK(Design!$B$32),Design!$B$31,Design!$B$32)*1000000</f>
        <v>4.9999999999999996E-2</v>
      </c>
      <c r="J16" s="208">
        <f t="shared" ca="1" si="1"/>
        <v>0.83395817377047909</v>
      </c>
      <c r="K16" s="208">
        <f t="shared" ca="1" si="2"/>
        <v>0.76735115298950929</v>
      </c>
      <c r="L16" s="208">
        <f ca="1">B16^2*Design!$B$40/1000*(1+(O16-25)*(Constants!$C$31/100))</f>
        <v>0.2347903250116084</v>
      </c>
      <c r="M16" s="208">
        <f>0.5*Snubber!$B$16/1000000000000*$C$2^2*Design!$B$32*1000000</f>
        <v>3.0080000000000003E-2</v>
      </c>
      <c r="N16" s="209">
        <f ca="1">$A16+K16*Design!$B$19</f>
        <v>68.739015720402023</v>
      </c>
      <c r="O16" s="209">
        <f ca="1">J16*Design!$C$12+A16</f>
        <v>53.354577908196291</v>
      </c>
      <c r="P16" s="209">
        <f ca="1">Constants!$D$19+Constants!$D$19*Constants!$C$20/100*(O16-25)</f>
        <v>95.699013187608955</v>
      </c>
      <c r="Q16" s="208">
        <f ca="1">(1-Constants!$C$17/1000000000*Design!$B$32*1000000) * ($C$2+C16-B16*P16/1000) - (C16+B16*Design!$B$40/1000)</f>
        <v>6.5662346122556885</v>
      </c>
      <c r="R16" s="208">
        <f ca="1">IF(Q16&gt;Design!$C$28,Design!$C$28,Q16)</f>
        <v>3.3239005736137672</v>
      </c>
      <c r="S16" s="208">
        <f t="shared" ca="1" si="3"/>
        <v>1.8661796517715969</v>
      </c>
      <c r="T16" s="208">
        <f t="shared" ca="1" si="4"/>
        <v>10.802676864244743</v>
      </c>
      <c r="U16" s="265">
        <f t="shared" ca="1" si="5"/>
        <v>85.269549391357316</v>
      </c>
      <c r="V16" s="224">
        <f t="shared" si="19"/>
        <v>3.25</v>
      </c>
      <c r="W16" s="159">
        <f ca="1">FORECAST(V16, OFFSET(Design!$C$15:$C$17,MATCH(V16,Design!$B$15:$B$17,1)-1,0,2), OFFSET(Design!$B$15:$B$17,MATCH(V16,Design!$B$15:$B$17,1)-1,0,2))+(AH16-25)*Design!$B$18/1000</f>
        <v>0.43604278364707144</v>
      </c>
      <c r="X16" s="225">
        <f ca="1">IF(100*(Design!$C$28+W16+V16*IF(ISBLANK(Design!$B$40),Constants!$C$6,Design!$B$40)/1000*(1+Constants!$C$31/100*(AI16-25)))/($W$2+W16-V16*AJ16/1000)&gt;Design!$C$35,Design!$C$35,100*(Design!$C$28+W16+V16*IF(ISBLANK(Design!$B$40),Constants!$C$6,Design!$B$40)/1000*(1+Constants!$C$31/100*(AI16-25)))/($W$2+W16-V16*AJ16/1000))</f>
        <v>31.654719594003502</v>
      </c>
      <c r="Y16" s="160">
        <f ca="1">($W$2-V16*IF(ISBLANK(Design!$B$40),Constants!$C$6,Design!$B$40)/1000*(1+Constants!$C$31/100*(AI16-25))-Design!$C$28) / (IF(ISBLANK(Design!$B$39),Design!$B$38,Design!$B$39)/1000000) * X16/100/(IF(ISBLANK(Design!$B$32),Design!$B$31,Design!$B$32)*1000000)</f>
        <v>0.61884456754685679</v>
      </c>
      <c r="Z16" s="226">
        <f>$W$2*Constants!$C$18/1000+IF(ISBLANK(Design!$B$32),Design!$B$31,Design!$B$32)*1000000*Constants!$D$22/1000000000*($W$2-Constants!$C$21)</f>
        <v>0.10600000000000001</v>
      </c>
      <c r="AA16" s="226">
        <f>$W$2*V16*($W$2/(Constants!$C$23*1000000000)*IF(ISBLANK(Design!$B$32),Design!$B$31,Design!$B$32)*1000000/2+$W$2/(Constants!$C$24*1000000000)*IF(ISBLANK(Design!$B$32),Design!$B$31,Design!$B$32)*1000000/2)</f>
        <v>0.56593984962406019</v>
      </c>
      <c r="AB16" s="226">
        <f t="shared" ca="1" si="6"/>
        <v>0.33406437112158938</v>
      </c>
      <c r="AC16" s="226">
        <f>Constants!$D$22/1000000000*Constants!$C$21*IF(ISBLANK(Design!$B$32),Design!$B$31,Design!$B$32)*1000000</f>
        <v>4.9999999999999996E-2</v>
      </c>
      <c r="AD16" s="226">
        <f t="shared" ca="1" si="7"/>
        <v>1.0560042207456497</v>
      </c>
      <c r="AE16" s="226">
        <f t="shared" ca="1" si="8"/>
        <v>0.96854765531453668</v>
      </c>
      <c r="AF16" s="226">
        <f ca="1">V16^2*Design!$B$40/1000*(1+(AI16-25)*(Constants!$C$31/100))</f>
        <v>0.24105806873993713</v>
      </c>
      <c r="AG16" s="226">
        <f>0.5*Snubber!$B$16/1000000000000*$W$2^2*Design!$B$32*1000000</f>
        <v>6.7680000000000004E-2</v>
      </c>
      <c r="AH16" s="227">
        <f ca="1">$A16+AE16*Design!$B$19</f>
        <v>80.207216352928583</v>
      </c>
      <c r="AI16" s="227">
        <f ca="1">AD16*Design!$C$12+$A16</f>
        <v>60.904143505352089</v>
      </c>
      <c r="AJ16" s="227">
        <f ca="1">Constants!$D$19+Constants!$D$19*Constants!$C$20/100*(AI16-25)</f>
        <v>99.612707993174524</v>
      </c>
      <c r="AK16" s="226">
        <f ca="1">(1-Constants!$C$17/1000000000*Design!$B$32*1000000) * ($W$2+W16-V16*AJ16/1000) - (W16+V16*Design!$B$40/1000)</f>
        <v>10.03665950627518</v>
      </c>
      <c r="AL16" s="226">
        <f ca="1">IF(AK16&gt;Design!$C$28,Design!$C$28,AK16)</f>
        <v>3.3239005736137672</v>
      </c>
      <c r="AM16" s="226">
        <f t="shared" ca="1" si="9"/>
        <v>2.3332899448001236</v>
      </c>
      <c r="AN16" s="226">
        <f t="shared" ca="1" si="10"/>
        <v>10.802676864244743</v>
      </c>
      <c r="AO16" s="269">
        <f t="shared" ca="1" si="11"/>
        <v>82.237394637800705</v>
      </c>
      <c r="AP16" s="238">
        <f t="shared" si="20"/>
        <v>3.25</v>
      </c>
      <c r="AQ16" s="161">
        <f ca="1">FORECAST(AP16, OFFSET(Design!$C$15:$C$17,MATCH(AP16,Design!$B$15:$B$17,1)-1,0,2), OFFSET(Design!$B$15:$B$17,MATCH(AP16,Design!$B$15:$B$17,1)-1,0,2))+(BB16-25)*Design!$B$18/1000</f>
        <v>0.43050341655086161</v>
      </c>
      <c r="AR16" s="239">
        <f ca="1">IF(100*(Design!$C$28+AQ16+AP16*IF(ISBLANK(Design!$B$40),Constants!$C$6,Design!$B$40)/1000*(1+Constants!$C$31/100*(BC16-25)))/($AQ$2+AQ16-AP16*BD16/1000)&gt;Design!$C$35,Design!$C$35,100*(Design!$C$28+AQ16+AP16*IF(ISBLANK(Design!$B$40),Constants!$C$6,Design!$B$40)/1000*(1+Constants!$C$31/100*(BC16-25)))/($AQ$2+AQ16-AP16*BD16/1000))</f>
        <v>23.829459385093497</v>
      </c>
      <c r="AS16" s="162">
        <f ca="1">($AQ$2-AP16*IF(ISBLANK(Design!$B$40),Constants!$C$6,Design!$B$40)/1000*(1+Constants!$C$31/100*(BC16-25))-Design!$C$28) / (IF(ISBLANK(Design!$B$39),Design!$B$38,Design!$B$39)/1000000) * AR16/100/(IF(ISBLANK(Design!$B$32),Design!$B$31,Design!$B$32)*1000000)</f>
        <v>0.68229174328536923</v>
      </c>
      <c r="AT16" s="240">
        <f>$AQ$2*Constants!$C$18/1000+IF(ISBLANK(Design!$B$32),Design!$B$31,Design!$B$32)*1000000*Constants!$D$22/1000000000*($AQ$2-Constants!$C$21)</f>
        <v>0.158</v>
      </c>
      <c r="AU16" s="240">
        <f>$AQ$2*AP16*($AQ$2/(Constants!$C$23*1000000000)*IF(ISBLANK(Design!$B$32),Design!$B$31,Design!$B$32)*1000000/2+$AQ$2/(Constants!$C$24*1000000000)*IF(ISBLANK(Design!$B$32),Design!$B$31,Design!$B$32)*1000000/2)</f>
        <v>1.0061152882205513</v>
      </c>
      <c r="AV16" s="240">
        <f t="shared" ca="1" si="12"/>
        <v>0.27073986452240251</v>
      </c>
      <c r="AW16" s="240">
        <f>Constants!$D$22/1000000000*Constants!$C$21*IF(ISBLANK(Design!$B$32),Design!$B$31,Design!$B$32)*1000000</f>
        <v>4.9999999999999996E-2</v>
      </c>
      <c r="AX16" s="240">
        <f t="shared" ca="1" si="13"/>
        <v>1.4848551527429537</v>
      </c>
      <c r="AY16" s="240">
        <f t="shared" ca="1" si="14"/>
        <v>1.0657295341954112</v>
      </c>
      <c r="AZ16" s="240">
        <f ca="1">AP16^2*Design!$B$40/1000*(1+(BC16-25)*(Constants!$C$31/100))</f>
        <v>0.25316334048888472</v>
      </c>
      <c r="BA16" s="240">
        <f>0.5*Snubber!$B$16/1000000000000*$AQ$2^2*Design!$B$32*1000000</f>
        <v>0.12032000000000001</v>
      </c>
      <c r="BB16" s="241">
        <f ca="1">$A16+AY16*Design!$B$19</f>
        <v>85.746583449138427</v>
      </c>
      <c r="BC16" s="241">
        <f ca="1">AX16*Design!$C$12+$A16</f>
        <v>75.485075193260428</v>
      </c>
      <c r="BD16" s="241">
        <f ca="1">Constants!$D$19+Constants!$D$19*Constants!$C$20/100*(BC16-25)</f>
        <v>107.17146298018621</v>
      </c>
      <c r="BE16" s="240">
        <f ca="1">(1-Constants!$C$17/1000000000*Design!$B$32*1000000) * ($AQ$2+AQ16-AP16*BD16/1000) - (AQ16+AP16*Design!$B$40/1000)</f>
        <v>13.496007244271912</v>
      </c>
      <c r="BF16" s="240">
        <f ca="1">IF(BE16&gt;Design!$C$28,Design!$C$28,BE16)</f>
        <v>3.3239005736137672</v>
      </c>
      <c r="BG16" s="240">
        <f t="shared" ca="1" si="15"/>
        <v>2.9240680274272495</v>
      </c>
      <c r="BH16" s="240">
        <f t="shared" ca="1" si="16"/>
        <v>10.802676864244743</v>
      </c>
      <c r="BI16" s="272">
        <f t="shared" ca="1" si="17"/>
        <v>78.698023089208277</v>
      </c>
    </row>
    <row r="17" spans="1:61" s="163" customFormat="1" ht="13.5" thickBot="1">
      <c r="A17" s="164">
        <v>25</v>
      </c>
      <c r="B17" s="275">
        <f t="shared" si="18"/>
        <v>3.5</v>
      </c>
      <c r="C17" s="166">
        <f ca="1">FORECAST(B17, OFFSET(Design!$C$15:$C$17,MATCH(B17,Design!$B$15:$B$17,1)-1,0,2), OFFSET(Design!$B$15:$B$17,MATCH(B17,Design!$B$15:$B$17,1)-1,0,2))+(N17-25)*Design!$B$18/1000</f>
        <v>0.45034821924534552</v>
      </c>
      <c r="D17" s="217">
        <f ca="1">IF(100*(Design!$C$28+C17+B17*IF(ISBLANK(Design!$B$40),Constants!$C$6,Design!$B$40)/1000*(1+Constants!$C$31/100*(O17-25)))/($C$2+C17-B17*P17/1000)&gt;Design!$C$35,Design!$C$35,100*(Design!$C$28+C17+B17*IF(ISBLANK(Design!$B$40),Constants!$C$6,Design!$B$40)/1000*(1+Constants!$C$31/100*(O17-25)))/($C$2+C17-B17*P17/1000))</f>
        <v>47.51843837311624</v>
      </c>
      <c r="E17" s="167">
        <f ca="1">IF(($C$2-B17*IF(ISBLANK(Design!$B$40),Constants!$C$6,Design!$B$40)/1000*(1+Constants!$C$31/100*(O17-25))-Design!$C$28) / (IF(ISBLANK(Design!$B$39),Design!$B$38,Design!$B$39)/1000000) * D17/100/(IF(ISBLANK(Design!$B$32),Design!$B$31,Design!$B$32)*1000000)&lt;0,0,($C$2-B17*IF(ISBLANK(Design!$B$40),Constants!$C$6,Design!$B$40)/1000*(1+Constants!$C$31/100*(O17-25))-Design!$C$28) / (IF(ISBLANK(Design!$B$39),Design!$B$38,Design!$B$39)/1000000) * D17/100/(IF(ISBLANK(Design!$B$32),Design!$B$31,Design!$B$32)*1000000))</f>
        <v>0.49648861529963173</v>
      </c>
      <c r="F17" s="208">
        <f>$C$2*Constants!$C$18/1000+IF(ISBLANK(Design!$B$32),Design!$B$31,Design!$B$32)*1000000*Constants!$D$22/1000000000*($C$2-Constants!$C$21)</f>
        <v>5.3999999999999999E-2</v>
      </c>
      <c r="G17" s="208">
        <f>$C$2*B17*($C$2/(Constants!$C$23*1000000000)*IF(ISBLANK(Design!$B$32),Design!$B$31,Design!$B$32)*1000000/2+$C$2/(Constants!$C$24*1000000000)*IF(ISBLANK(Design!$B$32),Design!$B$31,Design!$B$32)*1000000/2)</f>
        <v>0.27087719298245616</v>
      </c>
      <c r="H17" s="208">
        <f t="shared" ca="1" si="0"/>
        <v>0.56932921911394507</v>
      </c>
      <c r="I17" s="208">
        <f>Constants!$D$22/1000000000*Constants!$C$21*IF(ISBLANK(Design!$B$32),Design!$B$31,Design!$B$32)*1000000</f>
        <v>4.9999999999999996E-2</v>
      </c>
      <c r="J17" s="208">
        <f t="shared" ca="1" si="1"/>
        <v>0.94420641209640133</v>
      </c>
      <c r="K17" s="210">
        <f t="shared" ca="1" si="2"/>
        <v>0.82722422376586857</v>
      </c>
      <c r="L17" s="210">
        <f ca="1">B17^2*Design!$B$40/1000*(1+(O17-25)*(Constants!$C$31/100))</f>
        <v>0.27591039089215869</v>
      </c>
      <c r="M17" s="210">
        <f>0.5*Snubber!$B$16/1000000000000*$C$2^2*Design!$B$32*1000000</f>
        <v>3.0080000000000003E-2</v>
      </c>
      <c r="N17" s="211">
        <f ca="1">$A17+K17*Design!$B$19</f>
        <v>72.15178075465451</v>
      </c>
      <c r="O17" s="209">
        <f ca="1">J17*Design!$C$12+A17</f>
        <v>57.103018011277648</v>
      </c>
      <c r="P17" s="209">
        <f ca="1">Constants!$D$19+Constants!$D$19*Constants!$C$20/100*(O17-25)</f>
        <v>97.642204537046339</v>
      </c>
      <c r="Q17" s="210">
        <f ca="1">(1-Constants!$C$17/1000000000*Design!$B$32*1000000) * ($C$2+C17-B17*P17/1000) - (C17+B17*Design!$B$40/1000)</f>
        <v>6.534134218682798</v>
      </c>
      <c r="R17" s="210">
        <f ca="1">IF(Q17&gt;Design!$C$28,Design!$C$28,Q17)</f>
        <v>3.3239005736137672</v>
      </c>
      <c r="S17" s="210">
        <f t="shared" ca="1" si="3"/>
        <v>2.0774210267544286</v>
      </c>
      <c r="T17" s="210">
        <f t="shared" ca="1" si="4"/>
        <v>11.633652007648186</v>
      </c>
      <c r="U17" s="266">
        <f t="shared" ca="1" si="5"/>
        <v>84.848589008738074</v>
      </c>
      <c r="V17" s="224">
        <f t="shared" si="19"/>
        <v>3.5</v>
      </c>
      <c r="W17" s="168">
        <f ca="1">FORECAST(V17, OFFSET(Design!$C$15:$C$17,MATCH(V17,Design!$B$15:$B$17,1)-1,0,2), OFFSET(Design!$B$15:$B$17,MATCH(V17,Design!$B$15:$B$17,1)-1,0,2))+(AH17-25)*Design!$B$18/1000</f>
        <v>0.43791978199310577</v>
      </c>
      <c r="X17" s="229">
        <f ca="1">IF(100*(Design!$C$28+W17+V17*IF(ISBLANK(Design!$B$40),Constants!$C$6,Design!$B$40)/1000*(1+Constants!$C$31/100*(AI17-25)))/($W$2+W17-V17*AJ17/1000)&gt;Design!$C$35,Design!$C$35,100*(Design!$C$28+W17+V17*IF(ISBLANK(Design!$B$40),Constants!$C$6,Design!$B$40)/1000*(1+Constants!$C$31/100*(AI17-25)))/($W$2+W17-V17*AJ17/1000))</f>
        <v>31.803101483905557</v>
      </c>
      <c r="Y17" s="169">
        <f ca="1">($W$2-V17*IF(ISBLANK(Design!$B$40),Constants!$C$6,Design!$B$40)/1000*(1+Constants!$C$31/100*(AI17-25))-Design!$C$28) / (IF(ISBLANK(Design!$B$39),Design!$B$38,Design!$B$39)/1000000) * X17/100/(IF(ISBLANK(Design!$B$32),Design!$B$31,Design!$B$32)*1000000)</f>
        <v>0.6212614508597496</v>
      </c>
      <c r="Z17" s="226">
        <f>$W$2*Constants!$C$18/1000+IF(ISBLANK(Design!$B$32),Design!$B$31,Design!$B$32)*1000000*Constants!$D$22/1000000000*($W$2-Constants!$C$21)</f>
        <v>0.10600000000000001</v>
      </c>
      <c r="AA17" s="226">
        <f>$W$2*V17*($W$2/(Constants!$C$23*1000000000)*IF(ISBLANK(Design!$B$32),Design!$B$31,Design!$B$32)*1000000/2+$W$2/(Constants!$C$24*1000000000)*IF(ISBLANK(Design!$B$32),Design!$B$31,Design!$B$32)*1000000/2)</f>
        <v>0.60947368421052628</v>
      </c>
      <c r="AB17" s="226">
        <f t="shared" ca="1" si="6"/>
        <v>0.39638598185527002</v>
      </c>
      <c r="AC17" s="226">
        <f>Constants!$D$22/1000000000*Constants!$C$21*IF(ISBLANK(Design!$B$32),Design!$B$31,Design!$B$32)*1000000</f>
        <v>4.9999999999999996E-2</v>
      </c>
      <c r="AD17" s="226">
        <f t="shared" ca="1" si="7"/>
        <v>1.1618596660657963</v>
      </c>
      <c r="AE17" s="230">
        <f t="shared" ca="1" si="8"/>
        <v>1.0452669825770915</v>
      </c>
      <c r="AF17" s="230">
        <f ca="1">V17^2*Design!$B$40/1000*(1+(AI17-25)*(Constants!$C$31/100))</f>
        <v>0.28303568370202936</v>
      </c>
      <c r="AG17" s="230">
        <f>0.5*Snubber!$B$16/1000000000000*$W$2^2*Design!$B$32*1000000</f>
        <v>6.7680000000000004E-2</v>
      </c>
      <c r="AH17" s="231">
        <f ca="1">$A17+AE17*Design!$B$19</f>
        <v>84.580218006894214</v>
      </c>
      <c r="AI17" s="227">
        <f ca="1">AD17*Design!$C$12+$A17</f>
        <v>64.503228646237076</v>
      </c>
      <c r="AJ17" s="227">
        <f ca="1">Constants!$D$19+Constants!$D$19*Constants!$C$20/100*(AI17-25)</f>
        <v>101.4784737302093</v>
      </c>
      <c r="AK17" s="230">
        <f ca="1">(1-Constants!$C$17/1000000000*Design!$B$32*1000000) * ($W$2+W17-V17*AJ17/1000) - (W17+V17*Design!$B$40/1000)</f>
        <v>10.004068475832408</v>
      </c>
      <c r="AL17" s="230">
        <f ca="1">IF(AK17&gt;Design!$C$28,Design!$C$28,AK17)</f>
        <v>3.3239005736137672</v>
      </c>
      <c r="AM17" s="230">
        <f t="shared" ca="1" si="9"/>
        <v>2.5578423323449169</v>
      </c>
      <c r="AN17" s="230">
        <f t="shared" ca="1" si="10"/>
        <v>11.633652007648186</v>
      </c>
      <c r="AO17" s="270">
        <f t="shared" ca="1" si="11"/>
        <v>81.97622976787828</v>
      </c>
      <c r="AP17" s="238">
        <f t="shared" si="20"/>
        <v>3.5</v>
      </c>
      <c r="AQ17" s="170">
        <f ca="1">FORECAST(AP17, OFFSET(Design!$C$15:$C$17,MATCH(AP17,Design!$B$15:$B$17,1)-1,0,2), OFFSET(Design!$B$15:$B$17,MATCH(AP17,Design!$B$15:$B$17,1)-1,0,2))+(BB17-25)*Design!$B$18/1000</f>
        <v>0.43194978255280603</v>
      </c>
      <c r="AR17" s="243">
        <f ca="1">IF(100*(Design!$C$28+AQ17+AP17*IF(ISBLANK(Design!$B$40),Constants!$C$6,Design!$B$40)/1000*(1+Constants!$C$31/100*(BC17-25)))/($AQ$2+AQ17-AP17*BD17/1000)&gt;Design!$C$35,Design!$C$35,100*(Design!$C$28+AQ17+AP17*IF(ISBLANK(Design!$B$40),Constants!$C$6,Design!$B$40)/1000*(1+Constants!$C$31/100*(BC17-25)))/($AQ$2+AQ17-AP17*BD17/1000))</f>
        <v>23.932704262414486</v>
      </c>
      <c r="AS17" s="171">
        <f ca="1">($AQ$2-AP17*IF(ISBLANK(Design!$B$40),Constants!$C$6,Design!$B$40)/1000*(1+Constants!$C$31/100*(BC17-25))-Design!$C$28) / (IF(ISBLANK(Design!$B$39),Design!$B$38,Design!$B$39)/1000000) * AR17/100/(IF(ISBLANK(Design!$B$32),Design!$B$31,Design!$B$32)*1000000)</f>
        <v>0.68485657315535808</v>
      </c>
      <c r="AT17" s="240">
        <f>$AQ$2*Constants!$C$18/1000+IF(ISBLANK(Design!$B$32),Design!$B$31,Design!$B$32)*1000000*Constants!$D$22/1000000000*($AQ$2-Constants!$C$21)</f>
        <v>0.158</v>
      </c>
      <c r="AU17" s="240">
        <f>$AQ$2*AP17*($AQ$2/(Constants!$C$23*1000000000)*IF(ISBLANK(Design!$B$32),Design!$B$31,Design!$B$32)*1000000/2+$AQ$2/(Constants!$C$24*1000000000)*IF(ISBLANK(Design!$B$32),Design!$B$31,Design!$B$32)*1000000/2)</f>
        <v>1.0835087719298246</v>
      </c>
      <c r="AV17" s="240">
        <f t="shared" ca="1" si="12"/>
        <v>0.32186539570366562</v>
      </c>
      <c r="AW17" s="240">
        <f>Constants!$D$22/1000000000*Constants!$C$21*IF(ISBLANK(Design!$B$32),Design!$B$31,Design!$B$32)*1000000</f>
        <v>4.9999999999999996E-2</v>
      </c>
      <c r="AX17" s="240">
        <f t="shared" ca="1" si="13"/>
        <v>1.6133741676334903</v>
      </c>
      <c r="AY17" s="244">
        <f t="shared" ca="1" si="14"/>
        <v>1.1500038148630518</v>
      </c>
      <c r="AZ17" s="244">
        <f ca="1">AP17^2*Design!$B$40/1000*(1+(BC17-25)*(Constants!$C$31/100))</f>
        <v>0.2978168687884008</v>
      </c>
      <c r="BA17" s="244">
        <f>0.5*Snubber!$B$16/1000000000000*$AQ$2^2*Design!$B$32*1000000</f>
        <v>0.12032000000000001</v>
      </c>
      <c r="BB17" s="245">
        <f ca="1">$A17+AY17*Design!$B$19</f>
        <v>90.550217447193958</v>
      </c>
      <c r="BC17" s="241">
        <f ca="1">AX17*Design!$C$12+$A17</f>
        <v>79.854721699538672</v>
      </c>
      <c r="BD17" s="241">
        <f ca="1">Constants!$D$19+Constants!$D$19*Constants!$C$20/100*(BC17-25)</f>
        <v>109.43668772904086</v>
      </c>
      <c r="BE17" s="244">
        <f ca="1">(1-Constants!$C$17/1000000000*Design!$B$32*1000000) * ($AQ$2+AQ17-AP17*BD17/1000) - (AQ17+AP17*Design!$B$40/1000)</f>
        <v>13.460611814133205</v>
      </c>
      <c r="BF17" s="244">
        <f ca="1">IF(BE17&gt;Design!$C$28,Design!$C$28,BE17)</f>
        <v>3.3239005736137672</v>
      </c>
      <c r="BG17" s="244">
        <f t="shared" ca="1" si="15"/>
        <v>3.1815148512849429</v>
      </c>
      <c r="BH17" s="244">
        <f t="shared" ca="1" si="16"/>
        <v>11.633652007648186</v>
      </c>
      <c r="BI17" s="273">
        <f t="shared" ca="1" si="17"/>
        <v>78.525285057005092</v>
      </c>
    </row>
    <row r="18" spans="1:61" ht="15.75" thickBot="1">
      <c r="A18" s="199" t="s">
        <v>229</v>
      </c>
      <c r="B18" s="199" t="s">
        <v>103</v>
      </c>
      <c r="C18" s="200" t="s">
        <v>254</v>
      </c>
      <c r="D18" s="212" t="s">
        <v>252</v>
      </c>
      <c r="E18" s="212" t="s">
        <v>253</v>
      </c>
      <c r="F18" s="212" t="s">
        <v>104</v>
      </c>
      <c r="G18" s="212" t="s">
        <v>105</v>
      </c>
      <c r="H18" s="212" t="s">
        <v>106</v>
      </c>
      <c r="I18" s="212" t="s">
        <v>217</v>
      </c>
      <c r="J18" s="212" t="s">
        <v>272</v>
      </c>
      <c r="K18" s="212" t="s">
        <v>274</v>
      </c>
      <c r="L18" s="212" t="s">
        <v>275</v>
      </c>
      <c r="M18" s="212" t="s">
        <v>288</v>
      </c>
      <c r="N18" s="212" t="s">
        <v>305</v>
      </c>
      <c r="O18" s="212" t="s">
        <v>306</v>
      </c>
      <c r="P18" s="212" t="s">
        <v>122</v>
      </c>
      <c r="Q18" s="212" t="s">
        <v>266</v>
      </c>
      <c r="R18" s="212" t="s">
        <v>273</v>
      </c>
      <c r="S18" s="246" t="s">
        <v>276</v>
      </c>
      <c r="T18" s="212" t="s">
        <v>277</v>
      </c>
      <c r="U18" s="267" t="s">
        <v>261</v>
      </c>
      <c r="V18" s="200" t="s">
        <v>103</v>
      </c>
      <c r="W18" s="200" t="s">
        <v>254</v>
      </c>
      <c r="X18" s="212" t="s">
        <v>252</v>
      </c>
      <c r="Y18" s="212" t="s">
        <v>253</v>
      </c>
      <c r="Z18" s="212" t="s">
        <v>104</v>
      </c>
      <c r="AA18" s="212" t="s">
        <v>105</v>
      </c>
      <c r="AB18" s="212" t="s">
        <v>106</v>
      </c>
      <c r="AC18" s="212" t="s">
        <v>217</v>
      </c>
      <c r="AD18" s="212" t="s">
        <v>272</v>
      </c>
      <c r="AE18" s="212" t="s">
        <v>274</v>
      </c>
      <c r="AF18" s="212" t="s">
        <v>275</v>
      </c>
      <c r="AG18" s="212" t="s">
        <v>288</v>
      </c>
      <c r="AH18" s="212" t="s">
        <v>305</v>
      </c>
      <c r="AI18" s="212" t="s">
        <v>306</v>
      </c>
      <c r="AJ18" s="212" t="s">
        <v>122</v>
      </c>
      <c r="AK18" s="212" t="s">
        <v>266</v>
      </c>
      <c r="AL18" s="212" t="s">
        <v>273</v>
      </c>
      <c r="AM18" s="212" t="s">
        <v>276</v>
      </c>
      <c r="AN18" s="212" t="s">
        <v>277</v>
      </c>
      <c r="AO18" s="267" t="s">
        <v>261</v>
      </c>
      <c r="AP18" s="200" t="s">
        <v>103</v>
      </c>
      <c r="AQ18" s="200" t="s">
        <v>254</v>
      </c>
      <c r="AR18" s="212" t="s">
        <v>252</v>
      </c>
      <c r="AS18" s="212" t="s">
        <v>253</v>
      </c>
      <c r="AT18" s="212" t="s">
        <v>104</v>
      </c>
      <c r="AU18" s="212" t="s">
        <v>105</v>
      </c>
      <c r="AV18" s="212" t="s">
        <v>106</v>
      </c>
      <c r="AW18" s="212" t="s">
        <v>217</v>
      </c>
      <c r="AX18" s="212" t="s">
        <v>272</v>
      </c>
      <c r="AY18" s="212" t="s">
        <v>274</v>
      </c>
      <c r="AZ18" s="212" t="s">
        <v>275</v>
      </c>
      <c r="BA18" s="212" t="s">
        <v>288</v>
      </c>
      <c r="BB18" s="212" t="s">
        <v>305</v>
      </c>
      <c r="BC18" s="212" t="s">
        <v>306</v>
      </c>
      <c r="BD18" s="212" t="s">
        <v>122</v>
      </c>
      <c r="BE18" s="212" t="s">
        <v>266</v>
      </c>
      <c r="BF18" s="212" t="s">
        <v>273</v>
      </c>
      <c r="BG18" s="212" t="s">
        <v>276</v>
      </c>
      <c r="BH18" s="212" t="s">
        <v>277</v>
      </c>
      <c r="BI18" s="267" t="s">
        <v>261</v>
      </c>
    </row>
    <row r="19" spans="1:61" ht="12.75" customHeight="1">
      <c r="A19" s="202">
        <f>Design!$D$13</f>
        <v>85</v>
      </c>
      <c r="B19" s="274">
        <v>0.25</v>
      </c>
      <c r="C19" s="204">
        <f ca="1">FORECAST(B19, OFFSET(Design!$C$15:$C$17,MATCH(B19,Design!$B$15:$B$17,1)-1,0,2), OFFSET(Design!$B$15:$B$17,MATCH(B19,Design!$B$15:$B$17,1)-1,0,2))+(N19-25)*Design!$B$18/1000</f>
        <v>0.26178594646632869</v>
      </c>
      <c r="D19" s="215">
        <f ca="1">IF(100*(Design!$C$28+C19+B19*IF(ISBLANK(Design!$B$40),Constants!$C$6,Design!$B$40)/1000*(1+Constants!$C$31/100*(O19-25)))/($C$2+C19-B19*P19/1000)&gt;Design!$C$35,Design!$C$35,100*(Design!$C$28+C19+B19*IF(ISBLANK(Design!$B$40),Constants!$C$6,Design!$B$40)/1000*(1+Constants!$C$31/100*(O19-25)))/($C$2+C19-B19*P19/1000))</f>
        <v>43.627643562098775</v>
      </c>
      <c r="E19" s="205">
        <f ca="1">IF(($C$2-B19*IF(ISBLANK(Design!$B$40),Constants!$C$6,Design!$B$40)/1000*(1+Constants!$C$31/100*(O19-25))-Design!$C$28) / (IF(ISBLANK(Design!$B$39),Design!$B$38,Design!$B$39)/1000000) * D19/100/(IF(ISBLANK(Design!$B$32),Design!$B$31,Design!$B$32)*1000000)&lt;0,0,($C$2-B19*IF(ISBLANK(Design!$B$40),Constants!$C$6,Design!$B$40)/1000*(1+Constants!$C$31/100*(O19-25))-Design!$C$28) / (IF(ISBLANK(Design!$B$39),Design!$B$38,Design!$B$39)/1000000) * D19/100/(IF(ISBLANK(Design!$B$32),Design!$B$31,Design!$B$32)*1000000))</f>
        <v>0.46303161739020549</v>
      </c>
      <c r="F19" s="206">
        <f>$C$2*Constants!$C$18/1000+IF(ISBLANK(Design!$B$32),Design!$B$31,Design!$B$32)*1000000*Constants!$D$22/1000000000*($C$2-Constants!$C$21)</f>
        <v>5.3999999999999999E-2</v>
      </c>
      <c r="G19" s="206">
        <f>$C$2*B19*($C$2/(Constants!$C$23*1000000000)*IF(ISBLANK(Design!$B$32),Design!$B$31,Design!$B$32)*1000000/2+$C$2/(Constants!$C$24*1000000000)*IF(ISBLANK(Design!$B$32),Design!$B$31,Design!$B$32)*1000000/2)</f>
        <v>1.9348370927318295E-2</v>
      </c>
      <c r="H19" s="206">
        <f t="shared" ref="H19:H32" ca="1" si="21">IF($D$86,1,D19/100*(B19^2+E19^2/12)*P19/1000)</f>
        <v>4.0092983804142154E-3</v>
      </c>
      <c r="I19" s="206">
        <f>Constants!$D$22/1000000000*Constants!$C$21*IF(ISBLANK(Design!$B$32),Design!$B$31,Design!$B$32)*1000000</f>
        <v>4.9999999999999996E-2</v>
      </c>
      <c r="J19" s="206">
        <f t="shared" ref="J19:J32" ca="1" si="22">SUM(F19:I19)</f>
        <v>0.12735766930773251</v>
      </c>
      <c r="K19" s="206">
        <f t="shared" ref="K19:K32" ca="1" si="23">B19*C19*(1-D19/100)</f>
        <v>3.6893726711583016E-2</v>
      </c>
      <c r="L19" s="206">
        <f ca="1">B19^2*Design!$B$40/1000*(1+(O19-25)*(Constants!$C$31/100))</f>
        <v>1.5660219147161241E-3</v>
      </c>
      <c r="M19" s="206">
        <f>0.5*Snubber!$B$16/1000000000000*$C$2^2*Design!$B$32*1000000</f>
        <v>3.0080000000000003E-2</v>
      </c>
      <c r="N19" s="207">
        <f ca="1">$A19+K19*Design!$B$19</f>
        <v>87.102942422560233</v>
      </c>
      <c r="O19" s="207">
        <f ca="1">J19*Design!$C$12+A19</f>
        <v>89.330160756462902</v>
      </c>
      <c r="P19" s="207">
        <f ca="1">Constants!$D$19+Constants!$D$19*Constants!$C$20/100*(O19-25)</f>
        <v>114.34875533615038</v>
      </c>
      <c r="Q19" s="206">
        <f ca="1">(1-Constants!$C$17/1000000000*Design!$B$32*1000000) * ($C$2+C19-B19*P19/1000) - (C19+B19*Design!$B$40/1000)</f>
        <v>6.8960969726737638</v>
      </c>
      <c r="R19" s="206">
        <f ca="1">IF(Q19&gt;Design!$C$28,Design!$C$28,Q19)</f>
        <v>3.3239005736137672</v>
      </c>
      <c r="S19" s="206">
        <f t="shared" ref="S19:S32" ca="1" si="24">SUM(J19:M19)</f>
        <v>0.19589741793403168</v>
      </c>
      <c r="T19" s="206">
        <f t="shared" ref="T19:T32" ca="1" si="25">R19*B19</f>
        <v>0.83097514340344181</v>
      </c>
      <c r="U19" s="264">
        <f t="shared" ref="U19:U32" ca="1" si="26">100*T19/(T19+S19)</f>
        <v>80.922908517598273</v>
      </c>
      <c r="V19" s="218">
        <v>0.25</v>
      </c>
      <c r="W19" s="219">
        <f ca="1">FORECAST(V19, OFFSET(Design!$C$15:$C$17,MATCH(V19,Design!$B$15:$B$17,1)-1,0,2), OFFSET(Design!$B$15:$B$17,MATCH(V19,Design!$B$15:$B$17,1)-1,0,2))+(AH19-25)*Design!$B$18/1000</f>
        <v>0.2612590212409247</v>
      </c>
      <c r="X19" s="220">
        <f ca="1">IF(100*(Design!$C$28+W19+V19*IF(ISBLANK(Design!$B$40),Constants!$C$6,Design!$B$40)/1000*(1+Constants!$C$31/100*(AI19-25)))/($W$2+W19-V19*AJ19/1000)&gt;Design!$C$35,Design!$C$35,100*(Design!$C$28+W19+V19*IF(ISBLANK(Design!$B$40),Constants!$C$6,Design!$B$40)/1000*(1+Constants!$C$31/100*(AI19-25)))/($W$2+W19-V19*AJ19/1000))</f>
        <v>29.360481115627653</v>
      </c>
      <c r="Y19" s="221">
        <f ca="1">($W$2-V19*IF(ISBLANK(Design!$B$40),Constants!$C$6,Design!$B$40)/1000*(1+Constants!$C$31/100*(AI19-25))-Design!$C$28) / (IF(ISBLANK(Design!$B$39),Design!$B$38,Design!$B$39)/1000000) * X19/100/(IF(ISBLANK(Design!$B$32),Design!$B$31,Design!$B$32)*1000000)</f>
        <v>0.57852059257060151</v>
      </c>
      <c r="Z19" s="222">
        <f>$W$2*Constants!$C$18/1000+IF(ISBLANK(Design!$B$32),Design!$B$31,Design!$B$32)*1000000*Constants!$D$22/1000000000*($W$2-Constants!$C$21)</f>
        <v>0.10600000000000001</v>
      </c>
      <c r="AA19" s="222">
        <f>$W$2*V19*($W$2/(Constants!$C$23*1000000000)*IF(ISBLANK(Design!$B$32),Design!$B$31,Design!$B$32)*1000000/2+$W$2/(Constants!$C$24*1000000000)*IF(ISBLANK(Design!$B$32),Design!$B$31,Design!$B$32)*1000000/2)</f>
        <v>4.3533834586466161E-2</v>
      </c>
      <c r="AB19" s="222">
        <f t="shared" ref="AB19:AB32" ca="1" si="27">IF($D$86,1,X19/100*(V19^2+Y19^2/12)*AJ19/1000)</f>
        <v>3.0699092845493771E-3</v>
      </c>
      <c r="AC19" s="222">
        <f>Constants!$D$22/1000000000*Constants!$C$21*IF(ISBLANK(Design!$B$32),Design!$B$31,Design!$B$32)*1000000</f>
        <v>4.9999999999999996E-2</v>
      </c>
      <c r="AD19" s="222">
        <f t="shared" ref="AD19:AD32" ca="1" si="28">SUM(Z19:AC19)</f>
        <v>0.20260374387101554</v>
      </c>
      <c r="AE19" s="222">
        <f t="shared" ref="AE19:AE32" ca="1" si="29">V19*W19*(1-X19/100)</f>
        <v>4.6138028911652341E-2</v>
      </c>
      <c r="AF19" s="222">
        <f ca="1">V19^2*Design!$B$40/1000*(1+(AI19-25)*(Constants!$C$31/100))</f>
        <v>1.5785898903200562E-3</v>
      </c>
      <c r="AG19" s="222">
        <f>0.5*Snubber!$B$16/1000000000000*$W$2^2*Design!$B$32*1000000</f>
        <v>6.7680000000000004E-2</v>
      </c>
      <c r="AH19" s="223">
        <f ca="1">$A19+AE19*Design!$B$19</f>
        <v>87.62986764796419</v>
      </c>
      <c r="AI19" s="223">
        <f ca="1">AD19*Design!$C$12+$A19</f>
        <v>91.888527291614523</v>
      </c>
      <c r="AJ19" s="223">
        <f ca="1">Constants!$D$19+Constants!$D$19*Constants!$C$20/100*(AI19-25)</f>
        <v>115.67501254797298</v>
      </c>
      <c r="AK19" s="222">
        <f ca="1">(1-Constants!$C$17/1000000000*Design!$B$32*1000000) * ($W$2+W19-V19*AJ19/1000) - (W19+V19*Design!$B$40/1000)</f>
        <v>10.375877012009495</v>
      </c>
      <c r="AL19" s="222">
        <f ca="1">IF(AK19&gt;Design!$C$28,Design!$C$28,AK19)</f>
        <v>3.3239005736137672</v>
      </c>
      <c r="AM19" s="222">
        <f t="shared" ref="AM19:AM32" ca="1" si="30">SUM(AD19:AG19)</f>
        <v>0.31800036267298792</v>
      </c>
      <c r="AN19" s="222">
        <f t="shared" ref="AN19:AN32" ca="1" si="31">AL19*V19</f>
        <v>0.83097514340344181</v>
      </c>
      <c r="AO19" s="268">
        <f t="shared" ref="AO19:AO32" ca="1" si="32">100*AN19/(AN19+AM19)</f>
        <v>72.32313822259718</v>
      </c>
      <c r="AP19" s="232">
        <v>0.25</v>
      </c>
      <c r="AQ19" s="233">
        <f ca="1">FORECAST(AP19, OFFSET(Design!$C$15:$C$17,MATCH(AP19,Design!$B$15:$B$17,1)-1,0,2), OFFSET(Design!$B$15:$B$17,MATCH(AP19,Design!$B$15:$B$17,1)-1,0,2))+(BB19-25)*Design!$B$18/1000</f>
        <v>0.26099260531554586</v>
      </c>
      <c r="AR19" s="234">
        <f ca="1">IF(100*(Design!$C$28+AQ19+AP19*IF(ISBLANK(Design!$B$40),Constants!$C$6,Design!$B$40)/1000*(1+Constants!$C$31/100*(BC19-25)))/($AQ$2+AQ19-AP19*BD19/1000)&gt;Design!$C$35,Design!$C$35,100*(Design!$C$28+AQ19+AP19*IF(ISBLANK(Design!$B$40),Constants!$C$6,Design!$B$40)/1000*(1+Constants!$C$31/100*(BC19-25)))/($AQ$2+AQ19-AP19*BD19/1000))</f>
        <v>22.125008172768506</v>
      </c>
      <c r="AS19" s="235">
        <f ca="1">($AQ$2-AP19*IF(ISBLANK(Design!$B$40),Constants!$C$6,Design!$B$40)/1000*(1+Constants!$C$31/100*(BC19-25))-Design!$C$28) / (IF(ISBLANK(Design!$B$39),Design!$B$38,Design!$B$39)/1000000) * AR19/100/(IF(ISBLANK(Design!$B$32),Design!$B$31,Design!$B$32)*1000000)</f>
        <v>0.63708599423305889</v>
      </c>
      <c r="AT19" s="236">
        <f>$AQ$2*Constants!$C$18/1000+IF(ISBLANK(Design!$B$32),Design!$B$31,Design!$B$32)*1000000*Constants!$D$22/1000000000*($AQ$2-Constants!$C$21)</f>
        <v>0.158</v>
      </c>
      <c r="AU19" s="236">
        <f>$AQ$2*AP19*($AQ$2/(Constants!$C$23*1000000000)*IF(ISBLANK(Design!$B$32),Design!$B$31,Design!$B$32)*1000000/2+$AQ$2/(Constants!$C$24*1000000000)*IF(ISBLANK(Design!$B$32),Design!$B$31,Design!$B$32)*1000000/2)</f>
        <v>7.7393483709273181E-2</v>
      </c>
      <c r="AV19" s="236">
        <f t="shared" ref="AV19:AV32" ca="1" si="33">IF($D$86,1,AR19/100*(AP19^2+AS19^2/12)*BD19/1000)</f>
        <v>2.4972464221142106E-3</v>
      </c>
      <c r="AW19" s="236">
        <f>Constants!$D$22/1000000000*Constants!$C$21*IF(ISBLANK(Design!$B$32),Design!$B$31,Design!$B$32)*1000000</f>
        <v>4.9999999999999996E-2</v>
      </c>
      <c r="AX19" s="236">
        <f t="shared" ref="AX19:AX32" ca="1" si="34">SUM(AT19:AW19)</f>
        <v>0.28789073013138738</v>
      </c>
      <c r="AY19" s="236">
        <f t="shared" ref="AY19:AY32" ca="1" si="35">AP19*AQ19*(1-AR19/100)</f>
        <v>5.0811992514789975E-2</v>
      </c>
      <c r="AZ19" s="236">
        <f ca="1">AP19^2*Design!$B$40/1000*(1+(BC19-25)*(Constants!$C$31/100))</f>
        <v>1.592834949200195E-3</v>
      </c>
      <c r="BA19" s="236">
        <f>0.5*Snubber!$B$16/1000000000000*$AQ$2^2*Design!$B$32*1000000</f>
        <v>0.12032000000000001</v>
      </c>
      <c r="BB19" s="237">
        <f ca="1">$A19+AY19*Design!$B$19</f>
        <v>87.896283573343027</v>
      </c>
      <c r="BC19" s="237">
        <f ca="1">AX19*Design!$C$12+$A19</f>
        <v>94.788284824467169</v>
      </c>
      <c r="BD19" s="237">
        <f ca="1">Constants!$D$19+Constants!$D$19*Constants!$C$20/100*(BC19-25)</f>
        <v>117.17824685300378</v>
      </c>
      <c r="BE19" s="236">
        <f ca="1">(1-Constants!$C$17/1000000000*Design!$B$32*1000000) * ($AQ$2+AQ19-AP19*BD19/1000) - (AQ19+AP19*Design!$B$40/1000)</f>
        <v>13.855584692618452</v>
      </c>
      <c r="BF19" s="236">
        <f ca="1">IF(BE19&gt;Design!$C$28,Design!$C$28,BE19)</f>
        <v>3.3239005736137672</v>
      </c>
      <c r="BG19" s="236">
        <f t="shared" ref="BG19:BG32" ca="1" si="36">SUM(AX19:BA19)</f>
        <v>0.46061555759537753</v>
      </c>
      <c r="BH19" s="236">
        <f t="shared" ref="BH19:BH32" ca="1" si="37">BF19*AP19</f>
        <v>0.83097514340344181</v>
      </c>
      <c r="BI19" s="271">
        <f t="shared" ref="BI19:BI32" ca="1" si="38">100*BH19/(BH19+BG19)</f>
        <v>64.337343305493604</v>
      </c>
    </row>
    <row r="20" spans="1:61" ht="12.75" customHeight="1">
      <c r="A20" s="155">
        <f>Design!$D$13</f>
        <v>85</v>
      </c>
      <c r="B20" s="275">
        <f>B19+0.25</f>
        <v>0.5</v>
      </c>
      <c r="C20" s="157">
        <f ca="1">FORECAST(B20, OFFSET(Design!$C$15:$C$17,MATCH(B20,Design!$B$15:$B$17,1)-1,0,2), OFFSET(Design!$B$15:$B$17,MATCH(B20,Design!$B$15:$B$17,1)-1,0,2))+(N20-25)*Design!$B$18/1000</f>
        <v>0.27888038104118784</v>
      </c>
      <c r="D20" s="216">
        <f ca="1">IF(100*(Design!$C$28+C20+B20*IF(ISBLANK(Design!$B$40),Constants!$C$6,Design!$B$40)/1000*(1+Constants!$C$31/100*(O20-25)))/($C$2+C20-B20*P20/1000)&gt;Design!$C$35,Design!$C$35,100*(Design!$C$28+C20+B20*IF(ISBLANK(Design!$B$40),Constants!$C$6,Design!$B$40)/1000*(1+Constants!$C$31/100*(O20-25)))/($C$2+C20-B20*P20/1000))</f>
        <v>43.974567342473748</v>
      </c>
      <c r="E20" s="158">
        <f ca="1">IF(($C$2-B20*IF(ISBLANK(Design!$B$40),Constants!$C$6,Design!$B$40)/1000*(1+Constants!$C$31/100*(O20-25))-Design!$C$28) / (IF(ISBLANK(Design!$B$39),Design!$B$38,Design!$B$39)/1000000) * D20/100/(IF(ISBLANK(Design!$B$32),Design!$B$31,Design!$B$32)*1000000)&lt;0,0,($C$2-B20*IF(ISBLANK(Design!$B$40),Constants!$C$6,Design!$B$40)/1000*(1+Constants!$C$31/100*(O20-25))-Design!$C$28) / (IF(ISBLANK(Design!$B$39),Design!$B$38,Design!$B$39)/1000000) * D20/100/(IF(ISBLANK(Design!$B$32),Design!$B$31,Design!$B$32)*1000000))</f>
        <v>0.46608370694174828</v>
      </c>
      <c r="F20" s="208">
        <f>$C$2*Constants!$C$18/1000+IF(ISBLANK(Design!$B$32),Design!$B$31,Design!$B$32)*1000000*Constants!$D$22/1000000000*($C$2-Constants!$C$21)</f>
        <v>5.3999999999999999E-2</v>
      </c>
      <c r="G20" s="208">
        <f>$C$2*B20*($C$2/(Constants!$C$23*1000000000)*IF(ISBLANK(Design!$B$32),Design!$B$31,Design!$B$32)*1000000/2+$C$2/(Constants!$C$24*1000000000)*IF(ISBLANK(Design!$B$32),Design!$B$31,Design!$B$32)*1000000/2)</f>
        <v>3.869674185463659E-2</v>
      </c>
      <c r="H20" s="208">
        <f t="shared" ca="1" si="21"/>
        <v>1.3541396073950704E-2</v>
      </c>
      <c r="I20" s="208">
        <f>Constants!$D$22/1000000000*Constants!$C$21*IF(ISBLANK(Design!$B$32),Design!$B$31,Design!$B$32)*1000000</f>
        <v>4.9999999999999996E-2</v>
      </c>
      <c r="J20" s="208">
        <f t="shared" ca="1" si="22"/>
        <v>0.15623813792858729</v>
      </c>
      <c r="K20" s="208">
        <f t="shared" ca="1" si="23"/>
        <v>7.8121970037641653E-2</v>
      </c>
      <c r="L20" s="208">
        <f ca="1">B20^2*Design!$B$40/1000*(1+(O20-25)*(Constants!$C$31/100))</f>
        <v>6.2833826999500898E-3</v>
      </c>
      <c r="M20" s="208">
        <f>0.5*Snubber!$B$16/1000000000000*$C$2^2*Design!$B$32*1000000</f>
        <v>3.0080000000000003E-2</v>
      </c>
      <c r="N20" s="209">
        <f ca="1">$A20+K20*Design!$B$19</f>
        <v>89.452952292145568</v>
      </c>
      <c r="O20" s="209">
        <f ca="1">J20*Design!$C$12+A20</f>
        <v>90.312096689571973</v>
      </c>
      <c r="P20" s="209">
        <f ca="1">Constants!$D$19+Constants!$D$19*Constants!$C$20/100*(O20-25)</f>
        <v>114.85779092387412</v>
      </c>
      <c r="Q20" s="208">
        <f ca="1">(1-Constants!$C$17/1000000000*Design!$B$32*1000000) * ($C$2+C20-B20*P20/1000) - (C20+B20*Design!$B$40/1000)</f>
        <v>6.8637824114127595</v>
      </c>
      <c r="R20" s="208">
        <f ca="1">IF(Q20&gt;Design!$C$28,Design!$C$28,Q20)</f>
        <v>3.3239005736137672</v>
      </c>
      <c r="S20" s="208">
        <f t="shared" ca="1" si="24"/>
        <v>0.27072349066617907</v>
      </c>
      <c r="T20" s="208">
        <f t="shared" ca="1" si="25"/>
        <v>1.6619502868068836</v>
      </c>
      <c r="U20" s="265">
        <f t="shared" ca="1" si="26"/>
        <v>85.992282100492645</v>
      </c>
      <c r="V20" s="224">
        <f>V19+0.25</f>
        <v>0.5</v>
      </c>
      <c r="W20" s="159">
        <f ca="1">FORECAST(V20, OFFSET(Design!$C$15:$C$17,MATCH(V20,Design!$B$15:$B$17,1)-1,0,2), OFFSET(Design!$B$15:$B$17,MATCH(V20,Design!$B$15:$B$17,1)-1,0,2))+(AH20-25)*Design!$B$18/1000</f>
        <v>0.27775869132825037</v>
      </c>
      <c r="X20" s="225">
        <f ca="1">IF(100*(Design!$C$28+W20+V20*IF(ISBLANK(Design!$B$40),Constants!$C$6,Design!$B$40)/1000*(1+Constants!$C$31/100*(AI20-25)))/($W$2+W20-V20*AJ20/1000)&gt;Design!$C$35,Design!$C$35,100*(Design!$C$28+W20+V20*IF(ISBLANK(Design!$B$40),Constants!$C$6,Design!$B$40)/1000*(1+Constants!$C$31/100*(AI20-25)))/($W$2+W20-V20*AJ20/1000))</f>
        <v>29.578630671397278</v>
      </c>
      <c r="Y20" s="160">
        <f ca="1">($W$2-V20*IF(ISBLANK(Design!$B$40),Constants!$C$6,Design!$B$40)/1000*(1+Constants!$C$31/100*(AI20-25))-Design!$C$28) / (IF(ISBLANK(Design!$B$39),Design!$B$38,Design!$B$39)/1000000) * X20/100/(IF(ISBLANK(Design!$B$32),Design!$B$31,Design!$B$32)*1000000)</f>
        <v>0.58239004992207466</v>
      </c>
      <c r="Z20" s="226">
        <f>$W$2*Constants!$C$18/1000+IF(ISBLANK(Design!$B$32),Design!$B$31,Design!$B$32)*1000000*Constants!$D$22/1000000000*($W$2-Constants!$C$21)</f>
        <v>0.10600000000000001</v>
      </c>
      <c r="AA20" s="226">
        <f>$W$2*V20*($W$2/(Constants!$C$23*1000000000)*IF(ISBLANK(Design!$B$32),Design!$B$31,Design!$B$32)*1000000/2+$W$2/(Constants!$C$24*1000000000)*IF(ISBLANK(Design!$B$32),Design!$B$31,Design!$B$32)*1000000/2)</f>
        <v>8.7067669172932322E-2</v>
      </c>
      <c r="AB20" s="226">
        <f t="shared" ca="1" si="27"/>
        <v>9.5934740606657565E-3</v>
      </c>
      <c r="AC20" s="226">
        <f>Constants!$D$22/1000000000*Constants!$C$21*IF(ISBLANK(Design!$B$32),Design!$B$31,Design!$B$32)*1000000</f>
        <v>4.9999999999999996E-2</v>
      </c>
      <c r="AD20" s="226">
        <f t="shared" ca="1" si="28"/>
        <v>0.25266114323359812</v>
      </c>
      <c r="AE20" s="226">
        <f t="shared" ca="1" si="29"/>
        <v>9.7800736931280413E-2</v>
      </c>
      <c r="AF20" s="226">
        <f ca="1">V20^2*Design!$B$40/1000*(1+(AI20-25)*(Constants!$C$31/100))</f>
        <v>6.3478029097943671E-3</v>
      </c>
      <c r="AG20" s="226">
        <f>0.5*Snubber!$B$16/1000000000000*$W$2^2*Design!$B$32*1000000</f>
        <v>6.7680000000000004E-2</v>
      </c>
      <c r="AH20" s="227">
        <f ca="1">$A20+AE20*Design!$B$19</f>
        <v>90.574642005082978</v>
      </c>
      <c r="AI20" s="227">
        <f ca="1">AD20*Design!$C$12+$A20</f>
        <v>93.590478869942331</v>
      </c>
      <c r="AJ20" s="227">
        <f ca="1">Constants!$D$19+Constants!$D$19*Constants!$C$20/100*(AI20-25)</f>
        <v>116.55730424617812</v>
      </c>
      <c r="AK20" s="226">
        <f ca="1">(1-Constants!$C$17/1000000000*Design!$B$32*1000000) * ($W$2+W20-V20*AJ20/1000) - (W20+V20*Design!$B$40/1000)</f>
        <v>10.343188942780239</v>
      </c>
      <c r="AL20" s="226">
        <f ca="1">IF(AK20&gt;Design!$C$28,Design!$C$28,AK20)</f>
        <v>3.3239005736137672</v>
      </c>
      <c r="AM20" s="226">
        <f t="shared" ca="1" si="30"/>
        <v>0.42448968307467294</v>
      </c>
      <c r="AN20" s="226">
        <f t="shared" ca="1" si="31"/>
        <v>1.6619502868068836</v>
      </c>
      <c r="AO20" s="269">
        <f t="shared" ca="1" si="32"/>
        <v>79.654833630378988</v>
      </c>
      <c r="AP20" s="238">
        <f>AP19+0.25</f>
        <v>0.5</v>
      </c>
      <c r="AQ20" s="161">
        <f ca="1">FORECAST(AP20, OFFSET(Design!$C$15:$C$17,MATCH(AP20,Design!$B$15:$B$17,1)-1,0,2), OFFSET(Design!$B$15:$B$17,MATCH(AP20,Design!$B$15:$B$17,1)-1,0,2))+(BB20-25)*Design!$B$18/1000</f>
        <v>0.2771937308817975</v>
      </c>
      <c r="AR20" s="239">
        <f ca="1">IF(100*(Design!$C$28+AQ20+AP20*IF(ISBLANK(Design!$B$40),Constants!$C$6,Design!$B$40)/1000*(1+Constants!$C$31/100*(BC20-25)))/($AQ$2+AQ20-AP20*BD20/1000)&gt;Design!$C$35,Design!$C$35,100*(Design!$C$28+AQ20+AP20*IF(ISBLANK(Design!$B$40),Constants!$C$6,Design!$B$40)/1000*(1+Constants!$C$31/100*(BC20-25)))/($AQ$2+AQ20-AP20*BD20/1000))</f>
        <v>22.283723106936577</v>
      </c>
      <c r="AS20" s="162">
        <f ca="1">($AQ$2-AP20*IF(ISBLANK(Design!$B$40),Constants!$C$6,Design!$B$40)/1000*(1+Constants!$C$31/100*(BC20-25))-Design!$C$28) / (IF(ISBLANK(Design!$B$39),Design!$B$38,Design!$B$39)/1000000) * AR20/100/(IF(ISBLANK(Design!$B$32),Design!$B$31,Design!$B$32)*1000000)</f>
        <v>0.64132791253577848</v>
      </c>
      <c r="AT20" s="240">
        <f>$AQ$2*Constants!$C$18/1000+IF(ISBLANK(Design!$B$32),Design!$B$31,Design!$B$32)*1000000*Constants!$D$22/1000000000*($AQ$2-Constants!$C$21)</f>
        <v>0.158</v>
      </c>
      <c r="AU20" s="240">
        <f>$AQ$2*AP20*($AQ$2/(Constants!$C$23*1000000000)*IF(ISBLANK(Design!$B$32),Design!$B$31,Design!$B$32)*1000000/2+$AQ$2/(Constants!$C$24*1000000000)*IF(ISBLANK(Design!$B$32),Design!$B$31,Design!$B$32)*1000000/2)</f>
        <v>0.15478696741854636</v>
      </c>
      <c r="AV20" s="240">
        <f t="shared" ca="1" si="33"/>
        <v>7.5149145098659196E-3</v>
      </c>
      <c r="AW20" s="240">
        <f>Constants!$D$22/1000000000*Constants!$C$21*IF(ISBLANK(Design!$B$32),Design!$B$31,Design!$B$32)*1000000</f>
        <v>4.9999999999999996E-2</v>
      </c>
      <c r="AX20" s="240">
        <f t="shared" ca="1" si="34"/>
        <v>0.37030188192841229</v>
      </c>
      <c r="AY20" s="240">
        <f t="shared" ca="1" si="35"/>
        <v>0.1077123237111554</v>
      </c>
      <c r="AZ20" s="240">
        <f ca="1">AP20^2*Design!$B$40/1000*(1+(BC20-25)*(Constants!$C$31/100))</f>
        <v>6.4263986873163729E-3</v>
      </c>
      <c r="BA20" s="240">
        <f>0.5*Snubber!$B$16/1000000000000*$AQ$2^2*Design!$B$32*1000000</f>
        <v>0.12032000000000001</v>
      </c>
      <c r="BB20" s="241">
        <f ca="1">$A20+AY20*Design!$B$19</f>
        <v>91.139602451535865</v>
      </c>
      <c r="BC20" s="241">
        <f ca="1">AX20*Design!$C$12+$A20</f>
        <v>97.590263985566025</v>
      </c>
      <c r="BD20" s="241">
        <f ca="1">Constants!$D$19+Constants!$D$19*Constants!$C$20/100*(BC20-25)</f>
        <v>118.63079285011743</v>
      </c>
      <c r="BE20" s="240">
        <f ca="1">(1-Constants!$C$17/1000000000*Design!$B$32*1000000) * ($AQ$2+AQ20-AP20*BD20/1000) - (AQ20+AP20*Design!$B$40/1000)</f>
        <v>13.822360420095565</v>
      </c>
      <c r="BF20" s="240">
        <f ca="1">IF(BE20&gt;Design!$C$28,Design!$C$28,BE20)</f>
        <v>3.3239005736137672</v>
      </c>
      <c r="BG20" s="240">
        <f t="shared" ca="1" si="36"/>
        <v>0.60476060432688405</v>
      </c>
      <c r="BH20" s="240">
        <f t="shared" ca="1" si="37"/>
        <v>1.6619502868068836</v>
      </c>
      <c r="BI20" s="272">
        <f t="shared" ca="1" si="38"/>
        <v>73.319905653058669</v>
      </c>
    </row>
    <row r="21" spans="1:61" ht="12.75" customHeight="1">
      <c r="A21" s="155">
        <f>Design!$D$13</f>
        <v>85</v>
      </c>
      <c r="B21" s="275">
        <f t="shared" ref="B21:B31" si="39">B20+0.25</f>
        <v>0.75</v>
      </c>
      <c r="C21" s="157">
        <f ca="1">FORECAST(B21, OFFSET(Design!$C$15:$C$17,MATCH(B21,Design!$B$15:$B$17,1)-1,0,2), OFFSET(Design!$B$15:$B$17,MATCH(B21,Design!$B$15:$B$17,1)-1,0,2))+(N21-25)*Design!$B$18/1000</f>
        <v>0.29573867626950057</v>
      </c>
      <c r="D21" s="216">
        <f ca="1">IF(100*(Design!$C$28+C21+B21*IF(ISBLANK(Design!$B$40),Constants!$C$6,Design!$B$40)/1000*(1+Constants!$C$31/100*(O21-25)))/($C$2+C21-B21*P21/1000)&gt;Design!$C$35,Design!$C$35,100*(Design!$C$28+C21+B21*IF(ISBLANK(Design!$B$40),Constants!$C$6,Design!$B$40)/1000*(1+Constants!$C$31/100*(O21-25)))/($C$2+C21-B21*P21/1000))</f>
        <v>44.323364363472237</v>
      </c>
      <c r="E21" s="158">
        <f ca="1">IF(($C$2-B21*IF(ISBLANK(Design!$B$40),Constants!$C$6,Design!$B$40)/1000*(1+Constants!$C$31/100*(O21-25))-Design!$C$28) / (IF(ISBLANK(Design!$B$39),Design!$B$38,Design!$B$39)/1000000) * D21/100/(IF(ISBLANK(Design!$B$32),Design!$B$31,Design!$B$32)*1000000)&lt;0,0,($C$2-B21*IF(ISBLANK(Design!$B$40),Constants!$C$6,Design!$B$40)/1000*(1+Constants!$C$31/100*(O21-25))-Design!$C$28) / (IF(ISBLANK(Design!$B$39),Design!$B$38,Design!$B$39)/1000000) * D21/100/(IF(ISBLANK(Design!$B$32),Design!$B$31,Design!$B$32)*1000000))</f>
        <v>0.46914045358286988</v>
      </c>
      <c r="F21" s="208">
        <f>$C$2*Constants!$C$18/1000+IF(ISBLANK(Design!$B$32),Design!$B$31,Design!$B$32)*1000000*Constants!$D$22/1000000000*($C$2-Constants!$C$21)</f>
        <v>5.3999999999999999E-2</v>
      </c>
      <c r="G21" s="208">
        <f>$C$2*B21*($C$2/(Constants!$C$23*1000000000)*IF(ISBLANK(Design!$B$32),Design!$B$31,Design!$B$32)*1000000/2+$C$2/(Constants!$C$24*1000000000)*IF(ISBLANK(Design!$B$32),Design!$B$31,Design!$B$32)*1000000/2)</f>
        <v>5.8045112781954886E-2</v>
      </c>
      <c r="H21" s="208">
        <f t="shared" ca="1" si="21"/>
        <v>2.9731204048681962E-2</v>
      </c>
      <c r="I21" s="208">
        <f>Constants!$D$22/1000000000*Constants!$C$21*IF(ISBLANK(Design!$B$32),Design!$B$31,Design!$B$32)*1000000</f>
        <v>4.9999999999999996E-2</v>
      </c>
      <c r="J21" s="208">
        <f t="shared" ca="1" si="22"/>
        <v>0.19177631683063684</v>
      </c>
      <c r="K21" s="208">
        <f t="shared" ca="1" si="23"/>
        <v>0.12349300891714517</v>
      </c>
      <c r="L21" s="208">
        <f ca="1">B21^2*Design!$B$40/1000*(1+(O21-25)*(Constants!$C$31/100))</f>
        <v>1.4191032953867734E-2</v>
      </c>
      <c r="M21" s="208">
        <f>0.5*Snubber!$B$16/1000000000000*$C$2^2*Design!$B$32*1000000</f>
        <v>3.0080000000000003E-2</v>
      </c>
      <c r="N21" s="209">
        <f ca="1">$A21+K21*Design!$B$19</f>
        <v>92.03910150827727</v>
      </c>
      <c r="O21" s="209">
        <f ca="1">J21*Design!$C$12+A21</f>
        <v>91.520394772241659</v>
      </c>
      <c r="P21" s="209">
        <f ca="1">Constants!$D$19+Constants!$D$19*Constants!$C$20/100*(O21-25)</f>
        <v>115.48417264993009</v>
      </c>
      <c r="Q21" s="208">
        <f ca="1">(1-Constants!$C$17/1000000000*Design!$B$32*1000000) * ($C$2+C21-B21*P21/1000) - (C21+B21*Design!$B$40/1000)</f>
        <v>6.8312005494308856</v>
      </c>
      <c r="R21" s="208">
        <f ca="1">IF(Q21&gt;Design!$C$28,Design!$C$28,Q21)</f>
        <v>3.3239005736137672</v>
      </c>
      <c r="S21" s="208">
        <f t="shared" ca="1" si="24"/>
        <v>0.35954035870164974</v>
      </c>
      <c r="T21" s="208">
        <f t="shared" ca="1" si="25"/>
        <v>2.4929254302103256</v>
      </c>
      <c r="U21" s="265">
        <f t="shared" ca="1" si="26"/>
        <v>87.395454133078658</v>
      </c>
      <c r="V21" s="224">
        <f t="shared" ref="V21:V32" si="40">V20+0.25</f>
        <v>0.75</v>
      </c>
      <c r="W21" s="159">
        <f ca="1">FORECAST(V21, OFFSET(Design!$C$15:$C$17,MATCH(V21,Design!$B$15:$B$17,1)-1,0,2), OFFSET(Design!$B$15:$B$17,MATCH(V21,Design!$B$15:$B$17,1)-1,0,2))+(AH21-25)*Design!$B$18/1000</f>
        <v>0.29395568725159349</v>
      </c>
      <c r="X21" s="225">
        <f ca="1">IF(100*(Design!$C$28+W21+V21*IF(ISBLANK(Design!$B$40),Constants!$C$6,Design!$B$40)/1000*(1+Constants!$C$31/100*(AI21-25)))/($W$2+W21-V21*AJ21/1000)&gt;Design!$C$35,Design!$C$35,100*(Design!$C$28+W21+V21*IF(ISBLANK(Design!$B$40),Constants!$C$6,Design!$B$40)/1000*(1+Constants!$C$31/100*(AI21-25)))/($W$2+W21-V21*AJ21/1000))</f>
        <v>29.797347144247453</v>
      </c>
      <c r="Y21" s="160">
        <f ca="1">($W$2-V21*IF(ISBLANK(Design!$B$40),Constants!$C$6,Design!$B$40)/1000*(1+Constants!$C$31/100*(AI21-25))-Design!$C$28) / (IF(ISBLANK(Design!$B$39),Design!$B$38,Design!$B$39)/1000000) * X21/100/(IF(ISBLANK(Design!$B$32),Design!$B$31,Design!$B$32)*1000000)</f>
        <v>0.58625918203304028</v>
      </c>
      <c r="Z21" s="226">
        <f>$W$2*Constants!$C$18/1000+IF(ISBLANK(Design!$B$32),Design!$B$31,Design!$B$32)*1000000*Constants!$D$22/1000000000*($W$2-Constants!$C$21)</f>
        <v>0.10600000000000001</v>
      </c>
      <c r="AA21" s="226">
        <f>$W$2*V21*($W$2/(Constants!$C$23*1000000000)*IF(ISBLANK(Design!$B$32),Design!$B$31,Design!$B$32)*1000000/2+$W$2/(Constants!$C$24*1000000000)*IF(ISBLANK(Design!$B$32),Design!$B$31,Design!$B$32)*1000000/2)</f>
        <v>0.1306015037593985</v>
      </c>
      <c r="AB21" s="226">
        <f t="shared" ca="1" si="27"/>
        <v>2.0700572745509304E-2</v>
      </c>
      <c r="AC21" s="226">
        <f>Constants!$D$22/1000000000*Constants!$C$21*IF(ISBLANK(Design!$B$32),Design!$B$31,Design!$B$32)*1000000</f>
        <v>4.9999999999999996E-2</v>
      </c>
      <c r="AD21" s="226">
        <f t="shared" ca="1" si="28"/>
        <v>0.30730207650490782</v>
      </c>
      <c r="AE21" s="226">
        <f t="shared" ca="1" si="29"/>
        <v>0.15477351800323336</v>
      </c>
      <c r="AF21" s="226">
        <f ca="1">V21^2*Design!$B$40/1000*(1+(AI21-25)*(Constants!$C$31/100))</f>
        <v>1.4364694163954089E-2</v>
      </c>
      <c r="AG21" s="226">
        <f>0.5*Snubber!$B$16/1000000000000*$W$2^2*Design!$B$32*1000000</f>
        <v>6.7680000000000004E-2</v>
      </c>
      <c r="AH21" s="227">
        <f ca="1">$A21+AE21*Design!$B$19</f>
        <v>93.822090526184297</v>
      </c>
      <c r="AI21" s="227">
        <f ca="1">AD21*Design!$C$12+$A21</f>
        <v>95.448270601166868</v>
      </c>
      <c r="AJ21" s="227">
        <f ca="1">Constants!$D$19+Constants!$D$19*Constants!$C$20/100*(AI21-25)</f>
        <v>117.52038347964492</v>
      </c>
      <c r="AK21" s="226">
        <f ca="1">(1-Constants!$C$17/1000000000*Design!$B$32*1000000) * ($W$2+W21-V21*AJ21/1000) - (W21+V21*Design!$B$40/1000)</f>
        <v>10.310103710436824</v>
      </c>
      <c r="AL21" s="226">
        <f ca="1">IF(AK21&gt;Design!$C$28,Design!$C$28,AK21)</f>
        <v>3.3239005736137672</v>
      </c>
      <c r="AM21" s="226">
        <f t="shared" ca="1" si="30"/>
        <v>0.54412028867209528</v>
      </c>
      <c r="AN21" s="226">
        <f t="shared" ca="1" si="31"/>
        <v>2.4929254302103256</v>
      </c>
      <c r="AO21" s="269">
        <f t="shared" ca="1" si="32"/>
        <v>82.083895369467072</v>
      </c>
      <c r="AP21" s="238">
        <f t="shared" ref="AP21:AP32" si="41">AP20+0.25</f>
        <v>0.75</v>
      </c>
      <c r="AQ21" s="161">
        <f ca="1">FORECAST(AP21, OFFSET(Design!$C$15:$C$17,MATCH(AP21,Design!$B$15:$B$17,1)-1,0,2), OFFSET(Design!$B$15:$B$17,MATCH(AP21,Design!$B$15:$B$17,1)-1,0,2))+(BB21-25)*Design!$B$18/1000</f>
        <v>0.29306114291137247</v>
      </c>
      <c r="AR21" s="239">
        <f ca="1">IF(100*(Design!$C$28+AQ21+AP21*IF(ISBLANK(Design!$B$40),Constants!$C$6,Design!$B$40)/1000*(1+Constants!$C$31/100*(BC21-25)))/($AQ$2+AQ21-AP21*BD21/1000)&gt;Design!$C$35,Design!$C$35,100*(Design!$C$28+AQ21+AP21*IF(ISBLANK(Design!$B$40),Constants!$C$6,Design!$B$40)/1000*(1+Constants!$C$31/100*(BC21-25)))/($AQ$2+AQ21-AP21*BD21/1000))</f>
        <v>22.44290654866705</v>
      </c>
      <c r="AS21" s="162">
        <f ca="1">($AQ$2-AP21*IF(ISBLANK(Design!$B$40),Constants!$C$6,Design!$B$40)/1000*(1+Constants!$C$31/100*(BC21-25))-Design!$C$28) / (IF(ISBLANK(Design!$B$39),Design!$B$38,Design!$B$39)/1000000) * AR21/100/(IF(ISBLANK(Design!$B$32),Design!$B$31,Design!$B$32)*1000000)</f>
        <v>0.64557264986659157</v>
      </c>
      <c r="AT21" s="240">
        <f>$AQ$2*Constants!$C$18/1000+IF(ISBLANK(Design!$B$32),Design!$B$31,Design!$B$32)*1000000*Constants!$D$22/1000000000*($AQ$2-Constants!$C$21)</f>
        <v>0.158</v>
      </c>
      <c r="AU21" s="240">
        <f>$AQ$2*AP21*($AQ$2/(Constants!$C$23*1000000000)*IF(ISBLANK(Design!$B$32),Design!$B$31,Design!$B$32)*1000000/2+$AQ$2/(Constants!$C$24*1000000000)*IF(ISBLANK(Design!$B$32),Design!$B$31,Design!$B$32)*1000000/2)</f>
        <v>0.23218045112781954</v>
      </c>
      <c r="AV21" s="240">
        <f t="shared" ca="1" si="33"/>
        <v>1.6103909091477946E-2</v>
      </c>
      <c r="AW21" s="240">
        <f>Constants!$D$22/1000000000*Constants!$C$21*IF(ISBLANK(Design!$B$32),Design!$B$31,Design!$B$32)*1000000</f>
        <v>4.9999999999999996E-2</v>
      </c>
      <c r="AX21" s="240">
        <f t="shared" ca="1" si="34"/>
        <v>0.45628436021929747</v>
      </c>
      <c r="AY21" s="240">
        <f t="shared" ca="1" si="35"/>
        <v>0.17046727835798817</v>
      </c>
      <c r="AZ21" s="240">
        <f ca="1">AP21^2*Design!$B$40/1000*(1+(BC21-25)*(Constants!$C$31/100))</f>
        <v>1.4588648057390654E-2</v>
      </c>
      <c r="BA21" s="240">
        <f>0.5*Snubber!$B$16/1000000000000*$AQ$2^2*Design!$B$32*1000000</f>
        <v>0.12032000000000001</v>
      </c>
      <c r="BB21" s="241">
        <f ca="1">$A21+AY21*Design!$B$19</f>
        <v>94.716634866405329</v>
      </c>
      <c r="BC21" s="241">
        <f ca="1">AX21*Design!$C$12+$A21</f>
        <v>100.51366824745611</v>
      </c>
      <c r="BD21" s="241">
        <f ca="1">Constants!$D$19+Constants!$D$19*Constants!$C$20/100*(BC21-25)</f>
        <v>120.14628561948126</v>
      </c>
      <c r="BE21" s="240">
        <f ca="1">(1-Constants!$C$17/1000000000*Design!$B$32*1000000) * ($AQ$2+AQ21-AP21*BD21/1000) - (AQ21+AP21*Design!$B$40/1000)</f>
        <v>13.788506600054813</v>
      </c>
      <c r="BF21" s="240">
        <f ca="1">IF(BE21&gt;Design!$C$28,Design!$C$28,BE21)</f>
        <v>3.3239005736137672</v>
      </c>
      <c r="BG21" s="240">
        <f t="shared" ca="1" si="36"/>
        <v>0.76166028663467633</v>
      </c>
      <c r="BH21" s="240">
        <f t="shared" ca="1" si="37"/>
        <v>2.4929254302103256</v>
      </c>
      <c r="BI21" s="272">
        <f t="shared" ca="1" si="38"/>
        <v>76.597319815775805</v>
      </c>
    </row>
    <row r="22" spans="1:61" ht="12.75" customHeight="1">
      <c r="A22" s="155">
        <f>Design!$D$13</f>
        <v>85</v>
      </c>
      <c r="B22" s="275">
        <f t="shared" si="39"/>
        <v>1</v>
      </c>
      <c r="C22" s="157">
        <f ca="1">FORECAST(B22, OFFSET(Design!$C$15:$C$17,MATCH(B22,Design!$B$15:$B$17,1)-1,0,2), OFFSET(Design!$B$15:$B$17,MATCH(B22,Design!$B$15:$B$17,1)-1,0,2))+(N22-25)*Design!$B$18/1000</f>
        <v>0.31237148646059476</v>
      </c>
      <c r="D22" s="216">
        <f ca="1">IF(100*(Design!$C$28+C22+B22*IF(ISBLANK(Design!$B$40),Constants!$C$6,Design!$B$40)/1000*(1+Constants!$C$31/100*(O22-25)))/($C$2+C22-B22*P22/1000)&gt;Design!$C$35,Design!$C$35,100*(Design!$C$28+C22+B22*IF(ISBLANK(Design!$B$40),Constants!$C$6,Design!$B$40)/1000*(1+Constants!$C$31/100*(O22-25)))/($C$2+C22-B22*P22/1000))</f>
        <v>44.674871704595027</v>
      </c>
      <c r="E22" s="158">
        <f ca="1">IF(($C$2-B22*IF(ISBLANK(Design!$B$40),Constants!$C$6,Design!$B$40)/1000*(1+Constants!$C$31/100*(O22-25))-Design!$C$28) / (IF(ISBLANK(Design!$B$39),Design!$B$38,Design!$B$39)/1000000) * D22/100/(IF(ISBLANK(Design!$B$32),Design!$B$31,Design!$B$32)*1000000)&lt;0,0,($C$2-B22*IF(ISBLANK(Design!$B$40),Constants!$C$6,Design!$B$40)/1000*(1+Constants!$C$31/100*(O22-25))-Design!$C$28) / (IF(ISBLANK(Design!$B$39),Design!$B$38,Design!$B$39)/1000000) * D22/100/(IF(ISBLANK(Design!$B$32),Design!$B$31,Design!$B$32)*1000000))</f>
        <v>0.47220906063535378</v>
      </c>
      <c r="F22" s="208">
        <f>$C$2*Constants!$C$18/1000+IF(ISBLANK(Design!$B$32),Design!$B$31,Design!$B$32)*1000000*Constants!$D$22/1000000000*($C$2-Constants!$C$21)</f>
        <v>5.3999999999999999E-2</v>
      </c>
      <c r="G22" s="208">
        <f>$C$2*B22*($C$2/(Constants!$C$23*1000000000)*IF(ISBLANK(Design!$B$32),Design!$B$31,Design!$B$32)*1000000/2+$C$2/(Constants!$C$24*1000000000)*IF(ISBLANK(Design!$B$32),Design!$B$31,Design!$B$32)*1000000/2)</f>
        <v>7.7393483709273181E-2</v>
      </c>
      <c r="H22" s="208">
        <f t="shared" ca="1" si="21"/>
        <v>5.2892031213212218E-2</v>
      </c>
      <c r="I22" s="208">
        <f>Constants!$D$22/1000000000*Constants!$C$21*IF(ISBLANK(Design!$B$32),Design!$B$31,Design!$B$32)*1000000</f>
        <v>4.9999999999999996E-2</v>
      </c>
      <c r="J22" s="208">
        <f t="shared" ca="1" si="22"/>
        <v>0.23428551492248539</v>
      </c>
      <c r="K22" s="208">
        <f t="shared" ca="1" si="23"/>
        <v>0.17281992564258761</v>
      </c>
      <c r="L22" s="208">
        <f ca="1">B22^2*Design!$B$40/1000*(1+(O22-25)*(Constants!$C$31/100))</f>
        <v>2.5342104610078853E-2</v>
      </c>
      <c r="M22" s="208">
        <f>0.5*Snubber!$B$16/1000000000000*$C$2^2*Design!$B$32*1000000</f>
        <v>3.0080000000000003E-2</v>
      </c>
      <c r="N22" s="209">
        <f ca="1">$A22+K22*Design!$B$19</f>
        <v>94.85073576162749</v>
      </c>
      <c r="O22" s="209">
        <f ca="1">J22*Design!$C$12+A22</f>
        <v>92.965707507364499</v>
      </c>
      <c r="P22" s="209">
        <f ca="1">Constants!$D$19+Constants!$D$19*Constants!$C$20/100*(O22-25)</f>
        <v>116.23342277181777</v>
      </c>
      <c r="Q22" s="208">
        <f ca="1">(1-Constants!$C$17/1000000000*Design!$B$32*1000000) * ($C$2+C22-B22*P22/1000) - (C22+B22*Design!$B$40/1000)</f>
        <v>6.7982686289486427</v>
      </c>
      <c r="R22" s="208">
        <f ca="1">IF(Q22&gt;Design!$C$28,Design!$C$28,Q22)</f>
        <v>3.3239005736137672</v>
      </c>
      <c r="S22" s="208">
        <f t="shared" ca="1" si="24"/>
        <v>0.46252754517515188</v>
      </c>
      <c r="T22" s="208">
        <f t="shared" ca="1" si="25"/>
        <v>3.3239005736137672</v>
      </c>
      <c r="U22" s="265">
        <f t="shared" ca="1" si="26"/>
        <v>87.784594592460124</v>
      </c>
      <c r="V22" s="224">
        <f t="shared" si="40"/>
        <v>1</v>
      </c>
      <c r="W22" s="159">
        <f ca="1">FORECAST(V22, OFFSET(Design!$C$15:$C$17,MATCH(V22,Design!$B$15:$B$17,1)-1,0,2), OFFSET(Design!$B$15:$B$17,MATCH(V22,Design!$B$15:$B$17,1)-1,0,2))+(AH22-25)*Design!$B$18/1000</f>
        <v>0.30986173837957515</v>
      </c>
      <c r="X22" s="225">
        <f ca="1">IF(100*(Design!$C$28+W22+V22*IF(ISBLANK(Design!$B$40),Constants!$C$6,Design!$B$40)/1000*(1+Constants!$C$31/100*(AI22-25)))/($W$2+W22-V22*AJ22/1000)&gt;Design!$C$35,Design!$C$35,100*(Design!$C$28+W22+V22*IF(ISBLANK(Design!$B$40),Constants!$C$6,Design!$B$40)/1000*(1+Constants!$C$31/100*(AI22-25)))/($W$2+W22-V22*AJ22/1000))</f>
        <v>30.016982779263724</v>
      </c>
      <c r="Y22" s="160">
        <f ca="1">($W$2-V22*IF(ISBLANK(Design!$B$40),Constants!$C$6,Design!$B$40)/1000*(1+Constants!$C$31/100*(AI22-25))-Design!$C$28) / (IF(ISBLANK(Design!$B$39),Design!$B$38,Design!$B$39)/1000000) * X22/100/(IF(ISBLANK(Design!$B$32),Design!$B$31,Design!$B$32)*1000000)</f>
        <v>0.59013410656599019</v>
      </c>
      <c r="Z22" s="226">
        <f>$W$2*Constants!$C$18/1000+IF(ISBLANK(Design!$B$32),Design!$B$31,Design!$B$32)*1000000*Constants!$D$22/1000000000*($W$2-Constants!$C$21)</f>
        <v>0.10600000000000001</v>
      </c>
      <c r="AA22" s="226">
        <f>$W$2*V22*($W$2/(Constants!$C$23*1000000000)*IF(ISBLANK(Design!$B$32),Design!$B$31,Design!$B$32)*1000000/2+$W$2/(Constants!$C$24*1000000000)*IF(ISBLANK(Design!$B$32),Design!$B$31,Design!$B$32)*1000000/2)</f>
        <v>0.17413533834586464</v>
      </c>
      <c r="AB22" s="226">
        <f t="shared" ca="1" si="27"/>
        <v>3.6623534289877281E-2</v>
      </c>
      <c r="AC22" s="226">
        <f>Constants!$D$22/1000000000*Constants!$C$21*IF(ISBLANK(Design!$B$32),Design!$B$31,Design!$B$32)*1000000</f>
        <v>4.9999999999999996E-2</v>
      </c>
      <c r="AD22" s="226">
        <f t="shared" ca="1" si="28"/>
        <v>0.36675887263574197</v>
      </c>
      <c r="AE22" s="226">
        <f t="shared" ca="1" si="29"/>
        <v>0.21685059373065085</v>
      </c>
      <c r="AF22" s="226">
        <f ca="1">V22^2*Design!$B$40/1000*(1+(AI22-25)*(Constants!$C$31/100))</f>
        <v>2.5696126411231757E-2</v>
      </c>
      <c r="AG22" s="226">
        <f>0.5*Snubber!$B$16/1000000000000*$W$2^2*Design!$B$32*1000000</f>
        <v>6.7680000000000004E-2</v>
      </c>
      <c r="AH22" s="227">
        <f ca="1">$A22+AE22*Design!$B$19</f>
        <v>97.360483842647099</v>
      </c>
      <c r="AI22" s="227">
        <f ca="1">AD22*Design!$C$12+$A22</f>
        <v>97.469801669615222</v>
      </c>
      <c r="AJ22" s="227">
        <f ca="1">Constants!$D$19+Constants!$D$19*Constants!$C$20/100*(AI22-25)</f>
        <v>118.56834518552853</v>
      </c>
      <c r="AK22" s="226">
        <f ca="1">(1-Constants!$C$17/1000000000*Design!$B$32*1000000) * ($W$2+W22-V22*AJ22/1000) - (W22+V22*Design!$B$40/1000)</f>
        <v>10.276563513699246</v>
      </c>
      <c r="AL22" s="226">
        <f ca="1">IF(AK22&gt;Design!$C$28,Design!$C$28,AK22)</f>
        <v>3.3239005736137672</v>
      </c>
      <c r="AM22" s="226">
        <f t="shared" ca="1" si="30"/>
        <v>0.6769855927776246</v>
      </c>
      <c r="AN22" s="226">
        <f t="shared" ca="1" si="31"/>
        <v>3.3239005736137672</v>
      </c>
      <c r="AO22" s="269">
        <f t="shared" ca="1" si="32"/>
        <v>83.079108861819151</v>
      </c>
      <c r="AP22" s="238">
        <f t="shared" si="41"/>
        <v>1</v>
      </c>
      <c r="AQ22" s="161">
        <f ca="1">FORECAST(AP22, OFFSET(Design!$C$15:$C$17,MATCH(AP22,Design!$B$15:$B$17,1)-1,0,2), OFFSET(Design!$B$15:$B$17,MATCH(AP22,Design!$B$15:$B$17,1)-1,0,2))+(BB22-25)*Design!$B$18/1000</f>
        <v>0.30860756150423457</v>
      </c>
      <c r="AR22" s="239">
        <f ca="1">IF(100*(Design!$C$28+AQ22+AP22*IF(ISBLANK(Design!$B$40),Constants!$C$6,Design!$B$40)/1000*(1+Constants!$C$31/100*(BC22-25)))/($AQ$2+AQ22-AP22*BD22/1000)&gt;Design!$C$35,Design!$C$35,100*(Design!$C$28+AQ22+AP22*IF(ISBLANK(Design!$B$40),Constants!$C$6,Design!$B$40)/1000*(1+Constants!$C$31/100*(BC22-25)))/($AQ$2+AQ22-AP22*BD22/1000))</f>
        <v>22.602772387505642</v>
      </c>
      <c r="AS22" s="162">
        <f ca="1">($AQ$2-AP22*IF(ISBLANK(Design!$B$40),Constants!$C$6,Design!$B$40)/1000*(1+Constants!$C$31/100*(BC22-25))-Design!$C$28) / (IF(ISBLANK(Design!$B$39),Design!$B$38,Design!$B$39)/1000000) * AR22/100/(IF(ISBLANK(Design!$B$32),Design!$B$31,Design!$B$32)*1000000)</f>
        <v>0.64982580951928293</v>
      </c>
      <c r="AT22" s="240">
        <f>$AQ$2*Constants!$C$18/1000+IF(ISBLANK(Design!$B$32),Design!$B$31,Design!$B$32)*1000000*Constants!$D$22/1000000000*($AQ$2-Constants!$C$21)</f>
        <v>0.158</v>
      </c>
      <c r="AU22" s="240">
        <f>$AQ$2*AP22*($AQ$2/(Constants!$C$23*1000000000)*IF(ISBLANK(Design!$B$32),Design!$B$31,Design!$B$32)*1000000/2+$AQ$2/(Constants!$C$24*1000000000)*IF(ISBLANK(Design!$B$32),Design!$B$31,Design!$B$32)*1000000/2)</f>
        <v>0.30957393483709272</v>
      </c>
      <c r="AV22" s="240">
        <f t="shared" ca="1" si="33"/>
        <v>2.8482235111403013E-2</v>
      </c>
      <c r="AW22" s="240">
        <f>Constants!$D$22/1000000000*Constants!$C$21*IF(ISBLANK(Design!$B$32),Design!$B$31,Design!$B$32)*1000000</f>
        <v>4.9999999999999996E-2</v>
      </c>
      <c r="AX22" s="240">
        <f t="shared" ca="1" si="34"/>
        <v>0.54605616994849582</v>
      </c>
      <c r="AY22" s="240">
        <f t="shared" ca="1" si="35"/>
        <v>0.23885369680680094</v>
      </c>
      <c r="AZ22" s="240">
        <f ca="1">AP22^2*Design!$B$40/1000*(1+(BC22-25)*(Constants!$C$31/100))</f>
        <v>2.6175280508570362E-2</v>
      </c>
      <c r="BA22" s="240">
        <f>0.5*Snubber!$B$16/1000000000000*$AQ$2^2*Design!$B$32*1000000</f>
        <v>0.12032000000000001</v>
      </c>
      <c r="BB22" s="241">
        <f ca="1">$A22+AY22*Design!$B$19</f>
        <v>98.614660717987647</v>
      </c>
      <c r="BC22" s="241">
        <f ca="1">AX22*Design!$C$12+$A22</f>
        <v>103.56590977824885</v>
      </c>
      <c r="BD22" s="241">
        <f ca="1">Constants!$D$19+Constants!$D$19*Constants!$C$20/100*(BC22-25)</f>
        <v>121.72856762904422</v>
      </c>
      <c r="BE22" s="240">
        <f ca="1">(1-Constants!$C$17/1000000000*Design!$B$32*1000000) * ($AQ$2+AQ22-AP22*BD22/1000) - (AQ22+AP22*Design!$B$40/1000)</f>
        <v>13.75397716316718</v>
      </c>
      <c r="BF22" s="240">
        <f ca="1">IF(BE22&gt;Design!$C$28,Design!$C$28,BE22)</f>
        <v>3.3239005736137672</v>
      </c>
      <c r="BG22" s="240">
        <f t="shared" ca="1" si="36"/>
        <v>0.93140514726386703</v>
      </c>
      <c r="BH22" s="240">
        <f t="shared" ca="1" si="37"/>
        <v>3.3239005736137672</v>
      </c>
      <c r="BI22" s="272">
        <f t="shared" ca="1" si="38"/>
        <v>78.1119099693789</v>
      </c>
    </row>
    <row r="23" spans="1:61" ht="12.75" customHeight="1">
      <c r="A23" s="155">
        <f>Design!$D$13</f>
        <v>85</v>
      </c>
      <c r="B23" s="275">
        <f t="shared" si="39"/>
        <v>1.25</v>
      </c>
      <c r="C23" s="157">
        <f ca="1">FORECAST(B23, OFFSET(Design!$C$15:$C$17,MATCH(B23,Design!$B$15:$B$17,1)-1,0,2), OFFSET(Design!$B$15:$B$17,MATCH(B23,Design!$B$15:$B$17,1)-1,0,2))+(N23-25)*Design!$B$18/1000</f>
        <v>0.32878926414841458</v>
      </c>
      <c r="D23" s="216">
        <f ca="1">IF(100*(Design!$C$28+C23+B23*IF(ISBLANK(Design!$B$40),Constants!$C$6,Design!$B$40)/1000*(1+Constants!$C$31/100*(O23-25)))/($C$2+C23-B23*P23/1000)&gt;Design!$C$35,Design!$C$35,100*(Design!$C$28+C23+B23*IF(ISBLANK(Design!$B$40),Constants!$C$6,Design!$B$40)/1000*(1+Constants!$C$31/100*(O23-25)))/($C$2+C23-B23*P23/1000))</f>
        <v>45.029995304592333</v>
      </c>
      <c r="E23" s="158">
        <f ca="1">IF(($C$2-B23*IF(ISBLANK(Design!$B$40),Constants!$C$6,Design!$B$40)/1000*(1+Constants!$C$31/100*(O23-25))-Design!$C$28) / (IF(ISBLANK(Design!$B$39),Design!$B$38,Design!$B$39)/1000000) * D23/100/(IF(ISBLANK(Design!$B$32),Design!$B$31,Design!$B$32)*1000000)&lt;0,0,($C$2-B23*IF(ISBLANK(Design!$B$40),Constants!$C$6,Design!$B$40)/1000*(1+Constants!$C$31/100*(O23-25))-Design!$C$28) / (IF(ISBLANK(Design!$B$39),Design!$B$38,Design!$B$39)/1000000) * D23/100/(IF(ISBLANK(Design!$B$32),Design!$B$31,Design!$B$32)*1000000))</f>
        <v>0.47529725754106256</v>
      </c>
      <c r="F23" s="208">
        <f>$C$2*Constants!$C$18/1000+IF(ISBLANK(Design!$B$32),Design!$B$31,Design!$B$32)*1000000*Constants!$D$22/1000000000*($C$2-Constants!$C$21)</f>
        <v>5.3999999999999999E-2</v>
      </c>
      <c r="G23" s="208">
        <f>$C$2*B23*($C$2/(Constants!$C$23*1000000000)*IF(ISBLANK(Design!$B$32),Design!$B$31,Design!$B$32)*1000000/2+$C$2/(Constants!$C$24*1000000000)*IF(ISBLANK(Design!$B$32),Design!$B$31,Design!$B$32)*1000000/2)</f>
        <v>9.6741854636591476E-2</v>
      </c>
      <c r="H23" s="208">
        <f t="shared" ca="1" si="21"/>
        <v>8.3392063786083159E-2</v>
      </c>
      <c r="I23" s="208">
        <f>Constants!$D$22/1000000000*Constants!$C$21*IF(ISBLANK(Design!$B$32),Design!$B$31,Design!$B$32)*1000000</f>
        <v>4.9999999999999996E-2</v>
      </c>
      <c r="J23" s="208">
        <f t="shared" ca="1" si="22"/>
        <v>0.28413391842267466</v>
      </c>
      <c r="K23" s="208">
        <f t="shared" ca="1" si="23"/>
        <v>0.22591934242547479</v>
      </c>
      <c r="L23" s="208">
        <f ca="1">B23^2*Design!$B$40/1000*(1+(O23-25)*(Constants!$C$31/100))</f>
        <v>3.9805186693113684E-2</v>
      </c>
      <c r="M23" s="208">
        <f>0.5*Snubber!$B$16/1000000000000*$C$2^2*Design!$B$32*1000000</f>
        <v>3.0080000000000003E-2</v>
      </c>
      <c r="N23" s="209">
        <f ca="1">$A23+K23*Design!$B$19</f>
        <v>97.877402518252069</v>
      </c>
      <c r="O23" s="209">
        <f ca="1">J23*Design!$C$12+A23</f>
        <v>94.660553226370936</v>
      </c>
      <c r="P23" s="209">
        <f ca="1">Constants!$D$19+Constants!$D$19*Constants!$C$20/100*(O23-25)</f>
        <v>117.1120307925507</v>
      </c>
      <c r="Q23" s="208">
        <f ca="1">(1-Constants!$C$17/1000000000*Design!$B$32*1000000) * ($C$2+C23-B23*P23/1000) - (C23+B23*Design!$B$40/1000)</f>
        <v>6.7648980621738062</v>
      </c>
      <c r="R23" s="208">
        <f ca="1">IF(Q23&gt;Design!$C$28,Design!$C$28,Q23)</f>
        <v>3.3239005736137672</v>
      </c>
      <c r="S23" s="208">
        <f t="shared" ca="1" si="24"/>
        <v>0.57993844754126311</v>
      </c>
      <c r="T23" s="208">
        <f t="shared" ca="1" si="25"/>
        <v>4.1548757170172088</v>
      </c>
      <c r="U23" s="265">
        <f t="shared" ca="1" si="26"/>
        <v>87.751611206152944</v>
      </c>
      <c r="V23" s="224">
        <f t="shared" si="40"/>
        <v>1.25</v>
      </c>
      <c r="W23" s="159">
        <f ca="1">FORECAST(V23, OFFSET(Design!$C$15:$C$17,MATCH(V23,Design!$B$15:$B$17,1)-1,0,2), OFFSET(Design!$B$15:$B$17,MATCH(V23,Design!$B$15:$B$17,1)-1,0,2))+(AH23-25)*Design!$B$18/1000</f>
        <v>0.32548812055165866</v>
      </c>
      <c r="X23" s="225">
        <f ca="1">IF(100*(Design!$C$28+W23+V23*IF(ISBLANK(Design!$B$40),Constants!$C$6,Design!$B$40)/1000*(1+Constants!$C$31/100*(AI23-25)))/($W$2+W23-V23*AJ23/1000)&gt;Design!$C$35,Design!$C$35,100*(Design!$C$28+W23+V23*IF(ISBLANK(Design!$B$40),Constants!$C$6,Design!$B$40)/1000*(1+Constants!$C$31/100*(AI23-25)))/($W$2+W23-V23*AJ23/1000))</f>
        <v>30.237910523431534</v>
      </c>
      <c r="Y23" s="160">
        <f ca="1">($W$2-V23*IF(ISBLANK(Design!$B$40),Constants!$C$6,Design!$B$40)/1000*(1+Constants!$C$31/100*(AI23-25))-Design!$C$28) / (IF(ISBLANK(Design!$B$39),Design!$B$38,Design!$B$39)/1000000) * X23/100/(IF(ISBLANK(Design!$B$32),Design!$B$31,Design!$B$32)*1000000)</f>
        <v>0.59402125761536295</v>
      </c>
      <c r="Z23" s="226">
        <f>$W$2*Constants!$C$18/1000+IF(ISBLANK(Design!$B$32),Design!$B$31,Design!$B$32)*1000000*Constants!$D$22/1000000000*($W$2-Constants!$C$21)</f>
        <v>0.10600000000000001</v>
      </c>
      <c r="AA23" s="226">
        <f>$W$2*V23*($W$2/(Constants!$C$23*1000000000)*IF(ISBLANK(Design!$B$32),Design!$B$31,Design!$B$32)*1000000/2+$W$2/(Constants!$C$24*1000000000)*IF(ISBLANK(Design!$B$32),Design!$B$31,Design!$B$32)*1000000/2)</f>
        <v>0.21766917293233082</v>
      </c>
      <c r="AB23" s="226">
        <f t="shared" ca="1" si="27"/>
        <v>5.7621423763774729E-2</v>
      </c>
      <c r="AC23" s="226">
        <f>Constants!$D$22/1000000000*Constants!$C$21*IF(ISBLANK(Design!$B$32),Design!$B$31,Design!$B$32)*1000000</f>
        <v>4.9999999999999996E-2</v>
      </c>
      <c r="AD23" s="226">
        <f t="shared" ca="1" si="28"/>
        <v>0.43129059669610553</v>
      </c>
      <c r="AE23" s="226">
        <f t="shared" ca="1" si="29"/>
        <v>0.28383414236856142</v>
      </c>
      <c r="AF23" s="226">
        <f ca="1">V23^2*Design!$B$40/1000*(1+(AI23-25)*(Constants!$C$31/100))</f>
        <v>4.0419657797829175E-2</v>
      </c>
      <c r="AG23" s="226">
        <f>0.5*Snubber!$B$16/1000000000000*$W$2^2*Design!$B$32*1000000</f>
        <v>6.7680000000000004E-2</v>
      </c>
      <c r="AH23" s="227">
        <f ca="1">$A23+AE23*Design!$B$19</f>
        <v>101.178546115008</v>
      </c>
      <c r="AI23" s="227">
        <f ca="1">AD23*Design!$C$12+$A23</f>
        <v>99.663880287667581</v>
      </c>
      <c r="AJ23" s="227">
        <f ca="1">Constants!$D$19+Constants!$D$19*Constants!$C$20/100*(AI23-25)</f>
        <v>119.70575554112688</v>
      </c>
      <c r="AK23" s="226">
        <f ca="1">(1-Constants!$C$17/1000000000*Design!$B$32*1000000) * ($W$2+W23-V23*AJ23/1000) - (W23+V23*Design!$B$40/1000)</f>
        <v>10.242506535177311</v>
      </c>
      <c r="AL23" s="226">
        <f ca="1">IF(AK23&gt;Design!$C$28,Design!$C$28,AK23)</f>
        <v>3.3239005736137672</v>
      </c>
      <c r="AM23" s="226">
        <f t="shared" ca="1" si="30"/>
        <v>0.82322439686249604</v>
      </c>
      <c r="AN23" s="226">
        <f t="shared" ca="1" si="31"/>
        <v>4.1548757170172088</v>
      </c>
      <c r="AO23" s="269">
        <f t="shared" ca="1" si="32"/>
        <v>83.463080733004531</v>
      </c>
      <c r="AP23" s="238">
        <f t="shared" si="41"/>
        <v>1.25</v>
      </c>
      <c r="AQ23" s="161">
        <f ca="1">FORECAST(AP23, OFFSET(Design!$C$15:$C$17,MATCH(AP23,Design!$B$15:$B$17,1)-1,0,2), OFFSET(Design!$B$15:$B$17,MATCH(AP23,Design!$B$15:$B$17,1)-1,0,2))+(BB23-25)*Design!$B$18/1000</f>
        <v>0.3238451523168478</v>
      </c>
      <c r="AR23" s="239">
        <f ca="1">IF(100*(Design!$C$28+AQ23+AP23*IF(ISBLANK(Design!$B$40),Constants!$C$6,Design!$B$40)/1000*(1+Constants!$C$31/100*(BC23-25)))/($AQ$2+AQ23-AP23*BD23/1000)&gt;Design!$C$35,Design!$C$35,100*(Design!$C$28+AQ23+AP23*IF(ISBLANK(Design!$B$40),Constants!$C$6,Design!$B$40)/1000*(1+Constants!$C$31/100*(BC23-25)))/($AQ$2+AQ23-AP23*BD23/1000))</f>
        <v>22.763544428258598</v>
      </c>
      <c r="AS23" s="162">
        <f ca="1">($AQ$2-AP23*IF(ISBLANK(Design!$B$40),Constants!$C$6,Design!$B$40)/1000*(1+Constants!$C$31/100*(BC23-25))-Design!$C$28) / (IF(ISBLANK(Design!$B$39),Design!$B$38,Design!$B$39)/1000000) * AR23/100/(IF(ISBLANK(Design!$B$32),Design!$B$31,Design!$B$32)*1000000)</f>
        <v>0.65409322110420587</v>
      </c>
      <c r="AT23" s="240">
        <f>$AQ$2*Constants!$C$18/1000+IF(ISBLANK(Design!$B$32),Design!$B$31,Design!$B$32)*1000000*Constants!$D$22/1000000000*($AQ$2-Constants!$C$21)</f>
        <v>0.158</v>
      </c>
      <c r="AU23" s="240">
        <f>$AQ$2*AP23*($AQ$2/(Constants!$C$23*1000000000)*IF(ISBLANK(Design!$B$32),Design!$B$31,Design!$B$32)*1000000/2+$AQ$2/(Constants!$C$24*1000000000)*IF(ISBLANK(Design!$B$32),Design!$B$31,Design!$B$32)*1000000/2)</f>
        <v>0.3869674185463659</v>
      </c>
      <c r="AV23" s="240">
        <f t="shared" ca="1" si="33"/>
        <v>4.4885842085170852E-2</v>
      </c>
      <c r="AW23" s="240">
        <f>Constants!$D$22/1000000000*Constants!$C$21*IF(ISBLANK(Design!$B$32),Design!$B$31,Design!$B$32)*1000000</f>
        <v>4.9999999999999996E-2</v>
      </c>
      <c r="AX23" s="240">
        <f t="shared" ca="1" si="34"/>
        <v>0.6398532606315368</v>
      </c>
      <c r="AY23" s="240">
        <f t="shared" ca="1" si="35"/>
        <v>0.31265814648805051</v>
      </c>
      <c r="AZ23" s="240">
        <f ca="1">AP23^2*Design!$B$40/1000*(1+(BC23-25)*(Constants!$C$31/100))</f>
        <v>4.1290537271424559E-2</v>
      </c>
      <c r="BA23" s="240">
        <f>0.5*Snubber!$B$16/1000000000000*$AQ$2^2*Design!$B$32*1000000</f>
        <v>0.12032000000000001</v>
      </c>
      <c r="BB23" s="241">
        <f ca="1">$A23+AY23*Design!$B$19</f>
        <v>102.82151434981888</v>
      </c>
      <c r="BC23" s="241">
        <f ca="1">AX23*Design!$C$12+$A23</f>
        <v>106.75501086147224</v>
      </c>
      <c r="BD23" s="241">
        <f ca="1">Constants!$D$19+Constants!$D$19*Constants!$C$20/100*(BC23-25)</f>
        <v>123.38179763058722</v>
      </c>
      <c r="BE23" s="240">
        <f ca="1">(1-Constants!$C$17/1000000000*Design!$B$32*1000000) * ($AQ$2+AQ23-AP23*BD23/1000) - (AQ23+AP23*Design!$B$40/1000)</f>
        <v>13.718722425275546</v>
      </c>
      <c r="BF23" s="240">
        <f ca="1">IF(BE23&gt;Design!$C$28,Design!$C$28,BE23)</f>
        <v>3.3239005736137672</v>
      </c>
      <c r="BG23" s="240">
        <f t="shared" ca="1" si="36"/>
        <v>1.1141219443910118</v>
      </c>
      <c r="BH23" s="240">
        <f t="shared" ca="1" si="37"/>
        <v>4.1548757170172088</v>
      </c>
      <c r="BI23" s="272">
        <f t="shared" ca="1" si="38"/>
        <v>78.855144450885078</v>
      </c>
    </row>
    <row r="24" spans="1:61" ht="12.75" customHeight="1">
      <c r="A24" s="155">
        <f>Design!$D$13</f>
        <v>85</v>
      </c>
      <c r="B24" s="275">
        <f t="shared" si="39"/>
        <v>1.5</v>
      </c>
      <c r="C24" s="157">
        <f ca="1">FORECAST(B24, OFFSET(Design!$C$15:$C$17,MATCH(B24,Design!$B$15:$B$17,1)-1,0,2), OFFSET(Design!$B$15:$B$17,MATCH(B24,Design!$B$15:$B$17,1)-1,0,2))+(N24-25)*Design!$B$18/1000</f>
        <v>0.34500233595023211</v>
      </c>
      <c r="D24" s="216">
        <f ca="1">IF(100*(Design!$C$28+C24+B24*IF(ISBLANK(Design!$B$40),Constants!$C$6,Design!$B$40)/1000*(1+Constants!$C$31/100*(O24-25)))/($C$2+C24-B24*P24/1000)&gt;Design!$C$35,Design!$C$35,100*(Design!$C$28+C24+B24*IF(ISBLANK(Design!$B$40),Constants!$C$6,Design!$B$40)/1000*(1+Constants!$C$31/100*(O24-25)))/($C$2+C24-B24*P24/1000))</f>
        <v>45.389724243779312</v>
      </c>
      <c r="E24" s="158">
        <f ca="1">IF(($C$2-B24*IF(ISBLANK(Design!$B$40),Constants!$C$6,Design!$B$40)/1000*(1+Constants!$C$31/100*(O24-25))-Design!$C$28) / (IF(ISBLANK(Design!$B$39),Design!$B$38,Design!$B$39)/1000000) * D24/100/(IF(ISBLANK(Design!$B$32),Design!$B$31,Design!$B$32)*1000000)&lt;0,0,($C$2-B24*IF(ISBLANK(Design!$B$40),Constants!$C$6,Design!$B$40)/1000*(1+Constants!$C$31/100*(O24-25))-Design!$C$28) / (IF(ISBLANK(Design!$B$39),Design!$B$38,Design!$B$39)/1000000) * D24/100/(IF(ISBLANK(Design!$B$32),Design!$B$31,Design!$B$32)*1000000))</f>
        <v>0.47841341630826523</v>
      </c>
      <c r="F24" s="208">
        <f>$C$2*Constants!$C$18/1000+IF(ISBLANK(Design!$B$32),Design!$B$31,Design!$B$32)*1000000*Constants!$D$22/1000000000*($C$2-Constants!$C$21)</f>
        <v>5.3999999999999999E-2</v>
      </c>
      <c r="G24" s="208">
        <f>$C$2*B24*($C$2/(Constants!$C$23*1000000000)*IF(ISBLANK(Design!$B$32),Design!$B$31,Design!$B$32)*1000000/2+$C$2/(Constants!$C$24*1000000000)*IF(ISBLANK(Design!$B$32),Design!$B$31,Design!$B$32)*1000000/2)</f>
        <v>0.11609022556390977</v>
      </c>
      <c r="H24" s="208">
        <f t="shared" ca="1" si="21"/>
        <v>0.12166269945406613</v>
      </c>
      <c r="I24" s="208">
        <f>Constants!$D$22/1000000000*Constants!$C$21*IF(ISBLANK(Design!$B$32),Design!$B$31,Design!$B$32)*1000000</f>
        <v>4.9999999999999996E-2</v>
      </c>
      <c r="J24" s="208">
        <f t="shared" ca="1" si="22"/>
        <v>0.34175292501797588</v>
      </c>
      <c r="K24" s="208">
        <f t="shared" ca="1" si="23"/>
        <v>0.28261009054173697</v>
      </c>
      <c r="L24" s="208">
        <f ca="1">B24^2*Design!$B$40/1000*(1+(O24-25)*(Constants!$C$31/100))</f>
        <v>5.7665926162840588E-2</v>
      </c>
      <c r="M24" s="208">
        <f>0.5*Snubber!$B$16/1000000000000*$C$2^2*Design!$B$32*1000000</f>
        <v>3.0080000000000003E-2</v>
      </c>
      <c r="N24" s="209">
        <f ca="1">$A24+K24*Design!$B$19</f>
        <v>101.10877516087901</v>
      </c>
      <c r="O24" s="209">
        <f ca="1">J24*Design!$C$12+A24</f>
        <v>96.619599450611176</v>
      </c>
      <c r="P24" s="209">
        <f ca="1">Constants!$D$19+Constants!$D$19*Constants!$C$20/100*(O24-25)</f>
        <v>118.12760035519685</v>
      </c>
      <c r="Q24" s="208">
        <f ca="1">(1-Constants!$C$17/1000000000*Design!$B$32*1000000) * ($C$2+C24-B24*P24/1000) - (C24+B24*Design!$B$40/1000)</f>
        <v>6.7309931778629375</v>
      </c>
      <c r="R24" s="208">
        <f ca="1">IF(Q24&gt;Design!$C$28,Design!$C$28,Q24)</f>
        <v>3.3239005736137672</v>
      </c>
      <c r="S24" s="208">
        <f t="shared" ca="1" si="24"/>
        <v>0.71210894172255346</v>
      </c>
      <c r="T24" s="208">
        <f t="shared" ca="1" si="25"/>
        <v>4.9858508604206513</v>
      </c>
      <c r="U24" s="265">
        <f t="shared" ca="1" si="26"/>
        <v>87.502387407950764</v>
      </c>
      <c r="V24" s="224">
        <f t="shared" si="40"/>
        <v>1.5</v>
      </c>
      <c r="W24" s="159">
        <f ca="1">FORECAST(V24, OFFSET(Design!$C$15:$C$17,MATCH(V24,Design!$B$15:$B$17,1)-1,0,2), OFFSET(Design!$B$15:$B$17,MATCH(V24,Design!$B$15:$B$17,1)-1,0,2))+(AH24-25)*Design!$B$18/1000</f>
        <v>0.34084570414089266</v>
      </c>
      <c r="X24" s="225">
        <f ca="1">IF(100*(Design!$C$28+W24+V24*IF(ISBLANK(Design!$B$40),Constants!$C$6,Design!$B$40)/1000*(1+Constants!$C$31/100*(AI24-25)))/($W$2+W24-V24*AJ24/1000)&gt;Design!$C$35,Design!$C$35,100*(Design!$C$28+W24+V24*IF(ISBLANK(Design!$B$40),Constants!$C$6,Design!$B$40)/1000*(1+Constants!$C$31/100*(AI24-25)))/($W$2+W24-V24*AJ24/1000))</f>
        <v>30.460527779669807</v>
      </c>
      <c r="Y24" s="160">
        <f ca="1">($W$2-V24*IF(ISBLANK(Design!$B$40),Constants!$C$6,Design!$B$40)/1000*(1+Constants!$C$31/100*(AI24-25))-Design!$C$28) / (IF(ISBLANK(Design!$B$39),Design!$B$38,Design!$B$39)/1000000) * X24/100/(IF(ISBLANK(Design!$B$32),Design!$B$31,Design!$B$32)*1000000)</f>
        <v>0.59792744786628604</v>
      </c>
      <c r="Z24" s="226">
        <f>$W$2*Constants!$C$18/1000+IF(ISBLANK(Design!$B$32),Design!$B$31,Design!$B$32)*1000000*Constants!$D$22/1000000000*($W$2-Constants!$C$21)</f>
        <v>0.10600000000000001</v>
      </c>
      <c r="AA24" s="226">
        <f>$W$2*V24*($W$2/(Constants!$C$23*1000000000)*IF(ISBLANK(Design!$B$32),Design!$B$31,Design!$B$32)*1000000/2+$W$2/(Constants!$C$24*1000000000)*IF(ISBLANK(Design!$B$32),Design!$B$31,Design!$B$32)*1000000/2)</f>
        <v>0.26120300751879699</v>
      </c>
      <c r="AB24" s="226">
        <f t="shared" ca="1" si="27"/>
        <v>8.3983625449694843E-2</v>
      </c>
      <c r="AC24" s="226">
        <f>Constants!$D$22/1000000000*Constants!$C$21*IF(ISBLANK(Design!$B$32),Design!$B$31,Design!$B$32)*1000000</f>
        <v>4.9999999999999996E-2</v>
      </c>
      <c r="AD24" s="226">
        <f t="shared" ca="1" si="28"/>
        <v>0.50118663296849186</v>
      </c>
      <c r="AE24" s="226">
        <f t="shared" ca="1" si="29"/>
        <v>0.35553345561786737</v>
      </c>
      <c r="AF24" s="226">
        <f ca="1">V24^2*Design!$B$40/1000*(1+(AI24-25)*(Constants!$C$31/100))</f>
        <v>5.8624585105376242E-2</v>
      </c>
      <c r="AG24" s="226">
        <f>0.5*Snubber!$B$16/1000000000000*$W$2^2*Design!$B$32*1000000</f>
        <v>6.7680000000000004E-2</v>
      </c>
      <c r="AH24" s="227">
        <f ca="1">$A24+AE24*Design!$B$19</f>
        <v>105.26540697021844</v>
      </c>
      <c r="AI24" s="227">
        <f ca="1">AD24*Design!$C$12+$A24</f>
        <v>102.04034552092872</v>
      </c>
      <c r="AJ24" s="227">
        <f ca="1">Constants!$D$19+Constants!$D$19*Constants!$C$20/100*(AI24-25)</f>
        <v>120.93771511804945</v>
      </c>
      <c r="AK24" s="226">
        <f ca="1">(1-Constants!$C$17/1000000000*Design!$B$32*1000000) * ($W$2+W24-V24*AJ24/1000) - (W24+V24*Design!$B$40/1000)</f>
        <v>10.207866340232629</v>
      </c>
      <c r="AL24" s="226">
        <f ca="1">IF(AK24&gt;Design!$C$28,Design!$C$28,AK24)</f>
        <v>3.3239005736137672</v>
      </c>
      <c r="AM24" s="226">
        <f t="shared" ca="1" si="30"/>
        <v>0.98302467369173552</v>
      </c>
      <c r="AN24" s="226">
        <f t="shared" ca="1" si="31"/>
        <v>4.9858508604206513</v>
      </c>
      <c r="AO24" s="269">
        <f t="shared" ca="1" si="32"/>
        <v>83.530823049103532</v>
      </c>
      <c r="AP24" s="238">
        <f t="shared" si="41"/>
        <v>1.5</v>
      </c>
      <c r="AQ24" s="161">
        <f ca="1">FORECAST(AP24, OFFSET(Design!$C$15:$C$17,MATCH(AP24,Design!$B$15:$B$17,1)-1,0,2), OFFSET(Design!$B$15:$B$17,MATCH(AP24,Design!$B$15:$B$17,1)-1,0,2))+(BB24-25)*Design!$B$18/1000</f>
        <v>0.33878557111963292</v>
      </c>
      <c r="AR24" s="239">
        <f ca="1">IF(100*(Design!$C$28+AQ24+AP24*IF(ISBLANK(Design!$B$40),Constants!$C$6,Design!$B$40)/1000*(1+Constants!$C$31/100*(BC24-25)))/($AQ$2+AQ24-AP24*BD24/1000)&gt;Design!$C$35,Design!$C$35,100*(Design!$C$28+AQ24+AP24*IF(ISBLANK(Design!$B$40),Constants!$C$6,Design!$B$40)/1000*(1+Constants!$C$31/100*(BC24-25)))/($AQ$2+AQ24-AP24*BD24/1000))</f>
        <v>22.925458148066181</v>
      </c>
      <c r="AS24" s="162">
        <f ca="1">($AQ$2-AP24*IF(ISBLANK(Design!$B$40),Constants!$C$6,Design!$B$40)/1000*(1+Constants!$C$31/100*(BC24-25))-Design!$C$28) / (IF(ISBLANK(Design!$B$39),Design!$B$38,Design!$B$39)/1000000) * AR24/100/(IF(ISBLANK(Design!$B$32),Design!$B$31,Design!$B$32)*1000000)</f>
        <v>0.65838098467282746</v>
      </c>
      <c r="AT24" s="240">
        <f>$AQ$2*Constants!$C$18/1000+IF(ISBLANK(Design!$B$32),Design!$B$31,Design!$B$32)*1000000*Constants!$D$22/1000000000*($AQ$2-Constants!$C$21)</f>
        <v>0.158</v>
      </c>
      <c r="AU24" s="240">
        <f>$AQ$2*AP24*($AQ$2/(Constants!$C$23*1000000000)*IF(ISBLANK(Design!$B$32),Design!$B$31,Design!$B$32)*1000000/2+$AQ$2/(Constants!$C$24*1000000000)*IF(ISBLANK(Design!$B$32),Design!$B$31,Design!$B$32)*1000000/2)</f>
        <v>0.46436090225563909</v>
      </c>
      <c r="AV24" s="240">
        <f t="shared" ca="1" si="33"/>
        <v>6.5570905123365067E-2</v>
      </c>
      <c r="AW24" s="240">
        <f>Constants!$D$22/1000000000*Constants!$C$21*IF(ISBLANK(Design!$B$32),Design!$B$31,Design!$B$32)*1000000</f>
        <v>4.9999999999999996E-2</v>
      </c>
      <c r="AX24" s="240">
        <f t="shared" ca="1" si="34"/>
        <v>0.73793180737900421</v>
      </c>
      <c r="AY24" s="240">
        <f t="shared" ca="1" si="35"/>
        <v>0.3916761402013717</v>
      </c>
      <c r="AZ24" s="240">
        <f ca="1">AP24^2*Design!$B$40/1000*(1+(BC24-25)*(Constants!$C$31/100))</f>
        <v>6.0048110164589212E-2</v>
      </c>
      <c r="BA24" s="240">
        <f>0.5*Snubber!$B$16/1000000000000*$AQ$2^2*Design!$B$32*1000000</f>
        <v>0.12032000000000001</v>
      </c>
      <c r="BB24" s="241">
        <f ca="1">$A24+AY24*Design!$B$19</f>
        <v>107.32553999147819</v>
      </c>
      <c r="BC24" s="241">
        <f ca="1">AX24*Design!$C$12+$A24</f>
        <v>110.08968145088615</v>
      </c>
      <c r="BD24" s="241">
        <f ca="1">Constants!$D$19+Constants!$D$19*Constants!$C$20/100*(BC24-25)</f>
        <v>125.11049086413939</v>
      </c>
      <c r="BE24" s="240">
        <f ca="1">(1-Constants!$C$17/1000000000*Design!$B$32*1000000) * ($AQ$2+AQ24-AP24*BD24/1000) - (AQ24+AP24*Design!$B$40/1000)</f>
        <v>13.682688685176744</v>
      </c>
      <c r="BF24" s="240">
        <f ca="1">IF(BE24&gt;Design!$C$28,Design!$C$28,BE24)</f>
        <v>3.3239005736137672</v>
      </c>
      <c r="BG24" s="240">
        <f t="shared" ca="1" si="36"/>
        <v>1.3099760577449651</v>
      </c>
      <c r="BH24" s="240">
        <f t="shared" ca="1" si="37"/>
        <v>4.9858508604206513</v>
      </c>
      <c r="BI24" s="272">
        <f t="shared" ca="1" si="38"/>
        <v>79.192946776137774</v>
      </c>
    </row>
    <row r="25" spans="1:61" ht="12.75" customHeight="1">
      <c r="A25" s="155">
        <f>Design!$D$13</f>
        <v>85</v>
      </c>
      <c r="B25" s="275">
        <f t="shared" si="39"/>
        <v>1.75</v>
      </c>
      <c r="C25" s="157">
        <f ca="1">FORECAST(B25, OFFSET(Design!$C$15:$C$17,MATCH(B25,Design!$B$15:$B$17,1)-1,0,2), OFFSET(Design!$B$15:$B$17,MATCH(B25,Design!$B$15:$B$17,1)-1,0,2))+(N25-25)*Design!$B$18/1000</f>
        <v>0.3610209845145701</v>
      </c>
      <c r="D25" s="216">
        <f ca="1">IF(100*(Design!$C$28+C25+B25*IF(ISBLANK(Design!$B$40),Constants!$C$6,Design!$B$40)/1000*(1+Constants!$C$31/100*(O25-25)))/($C$2+C25-B25*P25/1000)&gt;Design!$C$35,Design!$C$35,100*(Design!$C$28+C25+B25*IF(ISBLANK(Design!$B$40),Constants!$C$6,Design!$B$40)/1000*(1+Constants!$C$31/100*(O25-25)))/($C$2+C25-B25*P25/1000))</f>
        <v>45.755148022817252</v>
      </c>
      <c r="E25" s="158">
        <f ca="1">IF(($C$2-B25*IF(ISBLANK(Design!$B$40),Constants!$C$6,Design!$B$40)/1000*(1+Constants!$C$31/100*(O25-25))-Design!$C$28) / (IF(ISBLANK(Design!$B$39),Design!$B$38,Design!$B$39)/1000000) * D25/100/(IF(ISBLANK(Design!$B$32),Design!$B$31,Design!$B$32)*1000000)&lt;0,0,($C$2-B25*IF(ISBLANK(Design!$B$40),Constants!$C$6,Design!$B$40)/1000*(1+Constants!$C$31/100*(O25-25))-Design!$C$28) / (IF(ISBLANK(Design!$B$39),Design!$B$38,Design!$B$39)/1000000) * D25/100/(IF(ISBLANK(Design!$B$32),Design!$B$31,Design!$B$32)*1000000))</f>
        <v>0.48156669174681249</v>
      </c>
      <c r="F25" s="208">
        <f>$C$2*Constants!$C$18/1000+IF(ISBLANK(Design!$B$32),Design!$B$31,Design!$B$32)*1000000*Constants!$D$22/1000000000*($C$2-Constants!$C$21)</f>
        <v>5.3999999999999999E-2</v>
      </c>
      <c r="G25" s="208">
        <f>$C$2*B25*($C$2/(Constants!$C$23*1000000000)*IF(ISBLANK(Design!$B$32),Design!$B$31,Design!$B$32)*1000000/2+$C$2/(Constants!$C$24*1000000000)*IF(ISBLANK(Design!$B$32),Design!$B$31,Design!$B$32)*1000000/2)</f>
        <v>0.13543859649122808</v>
      </c>
      <c r="H25" s="208">
        <f t="shared" ca="1" si="21"/>
        <v>0.16820872414007115</v>
      </c>
      <c r="I25" s="208">
        <f>Constants!$D$22/1000000000*Constants!$C$21*IF(ISBLANK(Design!$B$32),Design!$B$31,Design!$B$32)*1000000</f>
        <v>4.9999999999999996E-2</v>
      </c>
      <c r="J25" s="208">
        <f t="shared" ca="1" si="22"/>
        <v>0.40764732063129921</v>
      </c>
      <c r="K25" s="208">
        <f t="shared" ca="1" si="23"/>
        <v>0.34271177264886865</v>
      </c>
      <c r="L25" s="208">
        <f ca="1">B25^2*Design!$B$40/1000*(1+(O25-25)*(Constants!$C$31/100))</f>
        <v>7.9029027392693685E-2</v>
      </c>
      <c r="M25" s="208">
        <f>0.5*Snubber!$B$16/1000000000000*$C$2^2*Design!$B$32*1000000</f>
        <v>3.0080000000000003E-2</v>
      </c>
      <c r="N25" s="209">
        <f ca="1">$A25+K25*Design!$B$19</f>
        <v>104.53457104098551</v>
      </c>
      <c r="O25" s="209">
        <f ca="1">J25*Design!$C$12+A25</f>
        <v>98.86000890146417</v>
      </c>
      <c r="P25" s="209">
        <f ca="1">Constants!$D$19+Constants!$D$19*Constants!$C$20/100*(O25-25)</f>
        <v>119.28902861451903</v>
      </c>
      <c r="Q25" s="208">
        <f ca="1">(1-Constants!$C$17/1000000000*Design!$B$32*1000000) * ($C$2+C25-B25*P25/1000) - (C25+B25*Design!$B$40/1000)</f>
        <v>6.6964497259474998</v>
      </c>
      <c r="R25" s="208">
        <f ca="1">IF(Q25&gt;Design!$C$28,Design!$C$28,Q25)</f>
        <v>3.3239005736137672</v>
      </c>
      <c r="S25" s="208">
        <f t="shared" ca="1" si="24"/>
        <v>0.85946812067286149</v>
      </c>
      <c r="T25" s="208">
        <f t="shared" ca="1" si="25"/>
        <v>5.8168260038240929</v>
      </c>
      <c r="U25" s="265">
        <f t="shared" ca="1" si="26"/>
        <v>87.126568952088817</v>
      </c>
      <c r="V25" s="224">
        <f t="shared" si="40"/>
        <v>1.75</v>
      </c>
      <c r="W25" s="159">
        <f ca="1">FORECAST(V25, OFFSET(Design!$C$15:$C$17,MATCH(V25,Design!$B$15:$B$17,1)-1,0,2), OFFSET(Design!$B$15:$B$17,MATCH(V25,Design!$B$15:$B$17,1)-1,0,2))+(AH25-25)*Design!$B$18/1000</f>
        <v>0.3559450011996243</v>
      </c>
      <c r="X25" s="225">
        <f ca="1">IF(100*(Design!$C$28+W25+V25*IF(ISBLANK(Design!$B$40),Constants!$C$6,Design!$B$40)/1000*(1+Constants!$C$31/100*(AI25-25)))/($W$2+W25-V25*AJ25/1000)&gt;Design!$C$35,Design!$C$35,100*(Design!$C$28+W25+V25*IF(ISBLANK(Design!$B$40),Constants!$C$6,Design!$B$40)/1000*(1+Constants!$C$31/100*(AI25-25)))/($W$2+W25-V25*AJ25/1000))</f>
        <v>30.685260756190207</v>
      </c>
      <c r="Y25" s="160">
        <f ca="1">($W$2-V25*IF(ISBLANK(Design!$B$40),Constants!$C$6,Design!$B$40)/1000*(1+Constants!$C$31/100*(AI25-25))-Design!$C$28) / (IF(ISBLANK(Design!$B$39),Design!$B$38,Design!$B$39)/1000000) * X25/100/(IF(ISBLANK(Design!$B$32),Design!$B$31,Design!$B$32)*1000000)</f>
        <v>0.60185994027432355</v>
      </c>
      <c r="Z25" s="226">
        <f>$W$2*Constants!$C$18/1000+IF(ISBLANK(Design!$B$32),Design!$B$31,Design!$B$32)*1000000*Constants!$D$22/1000000000*($W$2-Constants!$C$21)</f>
        <v>0.10600000000000001</v>
      </c>
      <c r="AA25" s="226">
        <f>$W$2*V25*($W$2/(Constants!$C$23*1000000000)*IF(ISBLANK(Design!$B$32),Design!$B$31,Design!$B$32)*1000000/2+$W$2/(Constants!$C$24*1000000000)*IF(ISBLANK(Design!$B$32),Design!$B$31,Design!$B$32)*1000000/2)</f>
        <v>0.30473684210526314</v>
      </c>
      <c r="AB25" s="226">
        <f t="shared" ca="1" si="27"/>
        <v>0.1160340254417707</v>
      </c>
      <c r="AC25" s="226">
        <f>Constants!$D$22/1000000000*Constants!$C$21*IF(ISBLANK(Design!$B$32),Design!$B$31,Design!$B$32)*1000000</f>
        <v>4.9999999999999996E-2</v>
      </c>
      <c r="AD25" s="226">
        <f t="shared" ca="1" si="28"/>
        <v>0.57677086754703388</v>
      </c>
      <c r="AE25" s="226">
        <f t="shared" ca="1" si="29"/>
        <v>0.43176411150756672</v>
      </c>
      <c r="AF25" s="226">
        <f ca="1">V25^2*Design!$B$40/1000*(1+(AI25-25)*(Constants!$C$31/100))</f>
        <v>8.0413172553450124E-2</v>
      </c>
      <c r="AG25" s="226">
        <f>0.5*Snubber!$B$16/1000000000000*$W$2^2*Design!$B$32*1000000</f>
        <v>6.7680000000000004E-2</v>
      </c>
      <c r="AH25" s="227">
        <f ca="1">$A25+AE25*Design!$B$19</f>
        <v>109.6105543559313</v>
      </c>
      <c r="AI25" s="227">
        <f ca="1">AD25*Design!$C$12+$A25</f>
        <v>104.61020949659915</v>
      </c>
      <c r="AJ25" s="227">
        <f ca="1">Constants!$D$19+Constants!$D$19*Constants!$C$20/100*(AI25-25)</f>
        <v>122.26993260303701</v>
      </c>
      <c r="AK25" s="226">
        <f ca="1">(1-Constants!$C$17/1000000000*Design!$B$32*1000000) * ($W$2+W25-V25*AJ25/1000) - (W25+V25*Design!$B$40/1000)</f>
        <v>10.172571177455925</v>
      </c>
      <c r="AL25" s="226">
        <f ca="1">IF(AK25&gt;Design!$C$28,Design!$C$28,AK25)</f>
        <v>3.3239005736137672</v>
      </c>
      <c r="AM25" s="226">
        <f t="shared" ca="1" si="30"/>
        <v>1.1566281516080505</v>
      </c>
      <c r="AN25" s="226">
        <f t="shared" ca="1" si="31"/>
        <v>5.8168260038240929</v>
      </c>
      <c r="AO25" s="269">
        <f t="shared" ca="1" si="32"/>
        <v>83.413841608077874</v>
      </c>
      <c r="AP25" s="238">
        <f t="shared" si="41"/>
        <v>1.75</v>
      </c>
      <c r="AQ25" s="161">
        <f ca="1">FORECAST(AP25, OFFSET(Design!$C$15:$C$17,MATCH(AP25,Design!$B$15:$B$17,1)-1,0,2), OFFSET(Design!$B$15:$B$17,MATCH(AP25,Design!$B$15:$B$17,1)-1,0,2))+(BB25-25)*Design!$B$18/1000</f>
        <v>0.3534400061342225</v>
      </c>
      <c r="AR25" s="239">
        <f ca="1">IF(100*(Design!$C$28+AQ25+AP25*IF(ISBLANK(Design!$B$40),Constants!$C$6,Design!$B$40)/1000*(1+Constants!$C$31/100*(BC25-25)))/($AQ$2+AQ25-AP25*BD25/1000)&gt;Design!$C$35,Design!$C$35,100*(Design!$C$28+AQ25+AP25*IF(ISBLANK(Design!$B$40),Constants!$C$6,Design!$B$40)/1000*(1+Constants!$C$31/100*(BC25-25)))/($AQ$2+AQ25-AP25*BD25/1000))</f>
        <v>23.088762675356527</v>
      </c>
      <c r="AS25" s="162">
        <f ca="1">($AQ$2-AP25*IF(ISBLANK(Design!$B$40),Constants!$C$6,Design!$B$40)/1000*(1+Constants!$C$31/100*(BC25-25))-Design!$C$28) / (IF(ISBLANK(Design!$B$39),Design!$B$38,Design!$B$39)/1000000) * AR25/100/(IF(ISBLANK(Design!$B$32),Design!$B$31,Design!$B$32)*1000000)</f>
        <v>0.66269552017079303</v>
      </c>
      <c r="AT25" s="240">
        <f>$AQ$2*Constants!$C$18/1000+IF(ISBLANK(Design!$B$32),Design!$B$31,Design!$B$32)*1000000*Constants!$D$22/1000000000*($AQ$2-Constants!$C$21)</f>
        <v>0.158</v>
      </c>
      <c r="AU25" s="240">
        <f>$AQ$2*AP25*($AQ$2/(Constants!$C$23*1000000000)*IF(ISBLANK(Design!$B$32),Design!$B$31,Design!$B$32)*1000000/2+$AQ$2/(Constants!$C$24*1000000000)*IF(ISBLANK(Design!$B$32),Design!$B$31,Design!$B$32)*1000000/2)</f>
        <v>0.54175438596491232</v>
      </c>
      <c r="AV25" s="240">
        <f t="shared" ca="1" si="33"/>
        <v>9.0816428784253611E-2</v>
      </c>
      <c r="AW25" s="240">
        <f>Constants!$D$22/1000000000*Constants!$C$21*IF(ISBLANK(Design!$B$32),Design!$B$31,Design!$B$32)*1000000</f>
        <v>4.9999999999999996E-2</v>
      </c>
      <c r="AX25" s="240">
        <f t="shared" ca="1" si="34"/>
        <v>0.84057081474916595</v>
      </c>
      <c r="AY25" s="240">
        <f t="shared" ca="1" si="35"/>
        <v>0.47571139335672102</v>
      </c>
      <c r="AZ25" s="240">
        <f ca="1">AP25^2*Design!$B$40/1000*(1+(BC25-25)*(Constants!$C$31/100))</f>
        <v>8.2572170676340484E-2</v>
      </c>
      <c r="BA25" s="240">
        <f>0.5*Snubber!$B$16/1000000000000*$AQ$2^2*Design!$B$32*1000000</f>
        <v>0.12032000000000001</v>
      </c>
      <c r="BB25" s="241">
        <f ca="1">$A25+AY25*Design!$B$19</f>
        <v>112.1155494213331</v>
      </c>
      <c r="BC25" s="241">
        <f ca="1">AX25*Design!$C$12+$A25</f>
        <v>113.57940770147164</v>
      </c>
      <c r="BD25" s="241">
        <f ca="1">Constants!$D$19+Constants!$D$19*Constants!$C$20/100*(BC25-25)</f>
        <v>126.9195649524429</v>
      </c>
      <c r="BE25" s="240">
        <f ca="1">(1-Constants!$C$17/1000000000*Design!$B$32*1000000) * ($AQ$2+AQ25-AP25*BD25/1000) - (AQ25+AP25*Design!$B$40/1000)</f>
        <v>13.645817761562455</v>
      </c>
      <c r="BF25" s="240">
        <f ca="1">IF(BE25&gt;Design!$C$28,Design!$C$28,BE25)</f>
        <v>3.3239005736137672</v>
      </c>
      <c r="BG25" s="240">
        <f t="shared" ca="1" si="36"/>
        <v>1.5191743787822274</v>
      </c>
      <c r="BH25" s="240">
        <f t="shared" ca="1" si="37"/>
        <v>5.8168260038240929</v>
      </c>
      <c r="BI25" s="272">
        <f t="shared" ca="1" si="38"/>
        <v>79.291517181703071</v>
      </c>
    </row>
    <row r="26" spans="1:61" ht="12.75" customHeight="1">
      <c r="A26" s="155">
        <f>Design!$D$13</f>
        <v>85</v>
      </c>
      <c r="B26" s="275">
        <f t="shared" si="39"/>
        <v>2</v>
      </c>
      <c r="C26" s="157">
        <f ca="1">FORECAST(B26, OFFSET(Design!$C$15:$C$17,MATCH(B26,Design!$B$15:$B$17,1)-1,0,2), OFFSET(Design!$B$15:$B$17,MATCH(B26,Design!$B$15:$B$17,1)-1,0,2))+(N26-25)*Design!$B$18/1000</f>
        <v>0.37685553935640037</v>
      </c>
      <c r="D26" s="216">
        <f ca="1">IF(100*(Design!$C$28+C26+B26*IF(ISBLANK(Design!$B$40),Constants!$C$6,Design!$B$40)/1000*(1+Constants!$C$31/100*(O26-25)))/($C$2+C26-B26*P26/1000)&gt;Design!$C$35,Design!$C$35,100*(Design!$C$28+C26+B26*IF(ISBLANK(Design!$B$40),Constants!$C$6,Design!$B$40)/1000*(1+Constants!$C$31/100*(O26-25)))/($C$2+C26-B26*P26/1000))</f>
        <v>46.127477669639042</v>
      </c>
      <c r="E26" s="158">
        <f ca="1">IF(($C$2-B26*IF(ISBLANK(Design!$B$40),Constants!$C$6,Design!$B$40)/1000*(1+Constants!$C$31/100*(O26-25))-Design!$C$28) / (IF(ISBLANK(Design!$B$39),Design!$B$38,Design!$B$39)/1000000) * D26/100/(IF(ISBLANK(Design!$B$32),Design!$B$31,Design!$B$32)*1000000)&lt;0,0,($C$2-B26*IF(ISBLANK(Design!$B$40),Constants!$C$6,Design!$B$40)/1000*(1+Constants!$C$31/100*(O26-25))-Design!$C$28) / (IF(ISBLANK(Design!$B$39),Design!$B$38,Design!$B$39)/1000000) * D26/100/(IF(ISBLANK(Design!$B$32),Design!$B$31,Design!$B$32)*1000000))</f>
        <v>0.48476719214023833</v>
      </c>
      <c r="F26" s="208">
        <f>$C$2*Constants!$C$18/1000+IF(ISBLANK(Design!$B$32),Design!$B$31,Design!$B$32)*1000000*Constants!$D$22/1000000000*($C$2-Constants!$C$21)</f>
        <v>5.3999999999999999E-2</v>
      </c>
      <c r="G26" s="208">
        <f>$C$2*B26*($C$2/(Constants!$C$23*1000000000)*IF(ISBLANK(Design!$B$32),Design!$B$31,Design!$B$32)*1000000/2+$C$2/(Constants!$C$24*1000000000)*IF(ISBLANK(Design!$B$32),Design!$B$31,Design!$B$32)*1000000/2)</f>
        <v>0.15478696741854636</v>
      </c>
      <c r="H26" s="208">
        <f t="shared" ca="1" si="21"/>
        <v>0.2236208371646361</v>
      </c>
      <c r="I26" s="208">
        <f>Constants!$D$22/1000000000*Constants!$C$21*IF(ISBLANK(Design!$B$32),Design!$B$31,Design!$B$32)*1000000</f>
        <v>4.9999999999999996E-2</v>
      </c>
      <c r="J26" s="208">
        <f t="shared" ca="1" si="22"/>
        <v>0.48240780458318244</v>
      </c>
      <c r="K26" s="208">
        <f t="shared" ca="1" si="23"/>
        <v>0.40604316918595795</v>
      </c>
      <c r="L26" s="208">
        <f ca="1">B26^2*Design!$B$40/1000*(1+(O26-25)*(Constants!$C$31/100))</f>
        <v>0.1040207464678724</v>
      </c>
      <c r="M26" s="208">
        <f>0.5*Snubber!$B$16/1000000000000*$C$2^2*Design!$B$32*1000000</f>
        <v>3.0080000000000003E-2</v>
      </c>
      <c r="N26" s="209">
        <f ca="1">$A26+K26*Design!$B$19</f>
        <v>108.1444606435996</v>
      </c>
      <c r="O26" s="209">
        <f ca="1">J26*Design!$C$12+A26</f>
        <v>101.40186535582821</v>
      </c>
      <c r="P26" s="209">
        <f ca="1">Constants!$D$19+Constants!$D$19*Constants!$C$20/100*(O26-25)</f>
        <v>120.60672700046135</v>
      </c>
      <c r="Q26" s="208">
        <f ca="1">(1-Constants!$C$17/1000000000*Design!$B$32*1000000) * ($C$2+C26-B26*P26/1000) - (C26+B26*Design!$B$40/1000)</f>
        <v>6.6611530749028658</v>
      </c>
      <c r="R26" s="208">
        <f ca="1">IF(Q26&gt;Design!$C$28,Design!$C$28,Q26)</f>
        <v>3.3239005736137672</v>
      </c>
      <c r="S26" s="208">
        <f t="shared" ca="1" si="24"/>
        <v>1.0225517202370129</v>
      </c>
      <c r="T26" s="208">
        <f t="shared" ca="1" si="25"/>
        <v>6.6478011472275345</v>
      </c>
      <c r="U26" s="265">
        <f t="shared" ca="1" si="26"/>
        <v>86.668778635017091</v>
      </c>
      <c r="V26" s="224">
        <f t="shared" si="40"/>
        <v>2</v>
      </c>
      <c r="W26" s="159">
        <f ca="1">FORECAST(V26, OFFSET(Design!$C$15:$C$17,MATCH(V26,Design!$B$15:$B$17,1)-1,0,2), OFFSET(Design!$B$15:$B$17,MATCH(V26,Design!$B$15:$B$17,1)-1,0,2))+(AH26-25)*Design!$B$18/1000</f>
        <v>0.37079621240685517</v>
      </c>
      <c r="X26" s="225">
        <f ca="1">IF(100*(Design!$C$28+W26+V26*IF(ISBLANK(Design!$B$40),Constants!$C$6,Design!$B$40)/1000*(1+Constants!$C$31/100*(AI26-25)))/($W$2+W26-V26*AJ26/1000)&gt;Design!$C$35,Design!$C$35,100*(Design!$C$28+W26+V26*IF(ISBLANK(Design!$B$40),Constants!$C$6,Design!$B$40)/1000*(1+Constants!$C$31/100*(AI26-25)))/($W$2+W26-V26*AJ26/1000))</f>
        <v>30.912569544432738</v>
      </c>
      <c r="Y26" s="160">
        <f ca="1">($W$2-V26*IF(ISBLANK(Design!$B$40),Constants!$C$6,Design!$B$40)/1000*(1+Constants!$C$31/100*(AI26-25))-Design!$C$28) / (IF(ISBLANK(Design!$B$39),Design!$B$38,Design!$B$39)/1000000) * X26/100/(IF(ISBLANK(Design!$B$32),Design!$B$31,Design!$B$32)*1000000)</f>
        <v>0.6058265314253789</v>
      </c>
      <c r="Z26" s="226">
        <f>$W$2*Constants!$C$18/1000+IF(ISBLANK(Design!$B$32),Design!$B$31,Design!$B$32)*1000000*Constants!$D$22/1000000000*($W$2-Constants!$C$21)</f>
        <v>0.10600000000000001</v>
      </c>
      <c r="AA26" s="226">
        <f>$W$2*V26*($W$2/(Constants!$C$23*1000000000)*IF(ISBLANK(Design!$B$32),Design!$B$31,Design!$B$32)*1000000/2+$W$2/(Constants!$C$24*1000000000)*IF(ISBLANK(Design!$B$32),Design!$B$31,Design!$B$32)*1000000/2)</f>
        <v>0.34827067669172929</v>
      </c>
      <c r="AB26" s="226">
        <f t="shared" ca="1" si="27"/>
        <v>0.15413592638527199</v>
      </c>
      <c r="AC26" s="226">
        <f>Constants!$D$22/1000000000*Constants!$C$21*IF(ISBLANK(Design!$B$32),Design!$B$31,Design!$B$32)*1000000</f>
        <v>4.9999999999999996E-2</v>
      </c>
      <c r="AD26" s="226">
        <f t="shared" ca="1" si="28"/>
        <v>0.65840660307700127</v>
      </c>
      <c r="AE26" s="226">
        <f t="shared" ca="1" si="29"/>
        <v>0.51234715075692716</v>
      </c>
      <c r="AF26" s="226">
        <f ca="1">V26^2*Design!$B$40/1000*(1+(AI26-25)*(Constants!$C$31/100))</f>
        <v>0.10590210322425192</v>
      </c>
      <c r="AG26" s="226">
        <f>0.5*Snubber!$B$16/1000000000000*$W$2^2*Design!$B$32*1000000</f>
        <v>6.7680000000000004E-2</v>
      </c>
      <c r="AH26" s="227">
        <f ca="1">$A26+AE26*Design!$B$19</f>
        <v>114.20378759314485</v>
      </c>
      <c r="AI26" s="227">
        <f ca="1">AD26*Design!$C$12+$A26</f>
        <v>107.38582450461804</v>
      </c>
      <c r="AJ26" s="227">
        <f ca="1">Constants!$D$19+Constants!$D$19*Constants!$C$20/100*(AI26-25)</f>
        <v>123.70881142319399</v>
      </c>
      <c r="AK26" s="226">
        <f ca="1">(1-Constants!$C$17/1000000000*Design!$B$32*1000000) * ($W$2+W26-V26*AJ26/1000) - (W26+V26*Design!$B$40/1000)</f>
        <v>10.136543160510751</v>
      </c>
      <c r="AL26" s="226">
        <f ca="1">IF(AK26&gt;Design!$C$28,Design!$C$28,AK26)</f>
        <v>3.3239005736137672</v>
      </c>
      <c r="AM26" s="226">
        <f t="shared" ca="1" si="30"/>
        <v>1.3443358570581805</v>
      </c>
      <c r="AN26" s="226">
        <f t="shared" ca="1" si="31"/>
        <v>6.6478011472275345</v>
      </c>
      <c r="AO26" s="269">
        <f t="shared" ca="1" si="32"/>
        <v>83.179269119920093</v>
      </c>
      <c r="AP26" s="238">
        <f t="shared" si="41"/>
        <v>2</v>
      </c>
      <c r="AQ26" s="161">
        <f ca="1">FORECAST(AP26, OFFSET(Design!$C$15:$C$17,MATCH(AP26,Design!$B$15:$B$17,1)-1,0,2), OFFSET(Design!$B$15:$B$17,MATCH(AP26,Design!$B$15:$B$17,1)-1,0,2))+(BB26-25)*Design!$B$18/1000</f>
        <v>0.3678192185903888</v>
      </c>
      <c r="AR26" s="239">
        <f ca="1">IF(100*(Design!$C$28+AQ26+AP26*IF(ISBLANK(Design!$B$40),Constants!$C$6,Design!$B$40)/1000*(1+Constants!$C$31/100*(BC26-25)))/($AQ$2+AQ26-AP26*BD26/1000)&gt;Design!$C$35,Design!$C$35,100*(Design!$C$28+AQ26+AP26*IF(ISBLANK(Design!$B$40),Constants!$C$6,Design!$B$40)/1000*(1+Constants!$C$31/100*(BC26-25)))/($AQ$2+AQ26-AP26*BD26/1000))</f>
        <v>23.253723036418773</v>
      </c>
      <c r="AS26" s="162">
        <f ca="1">($AQ$2-AP26*IF(ISBLANK(Design!$B$40),Constants!$C$6,Design!$B$40)/1000*(1+Constants!$C$31/100*(BC26-25))-Design!$C$28) / (IF(ISBLANK(Design!$B$39),Design!$B$38,Design!$B$39)/1000000) * AR26/100/(IF(ISBLANK(Design!$B$32),Design!$B$31,Design!$B$32)*1000000)</f>
        <v>0.66704362334226697</v>
      </c>
      <c r="AT26" s="240">
        <f>$AQ$2*Constants!$C$18/1000+IF(ISBLANK(Design!$B$32),Design!$B$31,Design!$B$32)*1000000*Constants!$D$22/1000000000*($AQ$2-Constants!$C$21)</f>
        <v>0.158</v>
      </c>
      <c r="AU26" s="240">
        <f>$AQ$2*AP26*($AQ$2/(Constants!$C$23*1000000000)*IF(ISBLANK(Design!$B$32),Design!$B$31,Design!$B$32)*1000000/2+$AQ$2/(Constants!$C$24*1000000000)*IF(ISBLANK(Design!$B$32),Design!$B$31,Design!$B$32)*1000000/2)</f>
        <v>0.61914786967418545</v>
      </c>
      <c r="AV26" s="240">
        <f t="shared" ca="1" si="33"/>
        <v>0.1209272359539675</v>
      </c>
      <c r="AW26" s="240">
        <f>Constants!$D$22/1000000000*Constants!$C$21*IF(ISBLANK(Design!$B$32),Design!$B$31,Design!$B$32)*1000000</f>
        <v>4.9999999999999996E-2</v>
      </c>
      <c r="AX26" s="240">
        <f t="shared" ca="1" si="34"/>
        <v>0.948075105628153</v>
      </c>
      <c r="AY26" s="240">
        <f t="shared" ca="1" si="35"/>
        <v>0.56457511244932013</v>
      </c>
      <c r="AZ26" s="240">
        <f ca="1">AP26^2*Design!$B$40/1000*(1+(BC26-25)*(Constants!$C$31/100))</f>
        <v>0.1089985436491227</v>
      </c>
      <c r="BA26" s="240">
        <f>0.5*Snubber!$B$16/1000000000000*$AQ$2^2*Design!$B$32*1000000</f>
        <v>0.12032000000000001</v>
      </c>
      <c r="BB26" s="241">
        <f ca="1">$A26+AY26*Design!$B$19</f>
        <v>117.18078140961126</v>
      </c>
      <c r="BC26" s="241">
        <f ca="1">AX26*Design!$C$12+$A26</f>
        <v>117.23455359135721</v>
      </c>
      <c r="BD26" s="241">
        <f ca="1">Constants!$D$19+Constants!$D$19*Constants!$C$20/100*(BC26-25)</f>
        <v>128.81439258175959</v>
      </c>
      <c r="BE26" s="240">
        <f ca="1">(1-Constants!$C$17/1000000000*Design!$B$32*1000000) * ($AQ$2+AQ26-AP26*BD26/1000) - (AQ26+AP26*Design!$B$40/1000)</f>
        <v>13.608046458490987</v>
      </c>
      <c r="BF26" s="240">
        <f ca="1">IF(BE26&gt;Design!$C$28,Design!$C$28,BE26)</f>
        <v>3.3239005736137672</v>
      </c>
      <c r="BG26" s="240">
        <f t="shared" ca="1" si="36"/>
        <v>1.741968761726596</v>
      </c>
      <c r="BH26" s="240">
        <f t="shared" ca="1" si="37"/>
        <v>6.6478011472275345</v>
      </c>
      <c r="BI26" s="272">
        <f t="shared" ca="1" si="38"/>
        <v>79.236990041080276</v>
      </c>
    </row>
    <row r="27" spans="1:61" ht="12.75" customHeight="1">
      <c r="A27" s="155">
        <f>Design!$D$13</f>
        <v>85</v>
      </c>
      <c r="B27" s="275">
        <f t="shared" si="39"/>
        <v>2.25</v>
      </c>
      <c r="C27" s="157">
        <f ca="1">FORECAST(B27, OFFSET(Design!$C$15:$C$17,MATCH(B27,Design!$B$15:$B$17,1)-1,0,2), OFFSET(Design!$B$15:$B$17,MATCH(B27,Design!$B$15:$B$17,1)-1,0,2))+(N27-25)*Design!$B$18/1000</f>
        <v>0.38013174553757972</v>
      </c>
      <c r="D27" s="216">
        <f ca="1">IF(100*(Design!$C$28+C27+B27*IF(ISBLANK(Design!$B$40),Constants!$C$6,Design!$B$40)/1000*(1+Constants!$C$31/100*(O27-25)))/($C$2+C27-B27*P27/1000)&gt;Design!$C$35,Design!$C$35,100*(Design!$C$28+C27+B27*IF(ISBLANK(Design!$B$40),Constants!$C$6,Design!$B$40)/1000*(1+Constants!$C$31/100*(O27-25)))/($C$2+C27-B27*P27/1000))</f>
        <v>46.426177421342636</v>
      </c>
      <c r="E27" s="158">
        <f ca="1">IF(($C$2-B27*IF(ISBLANK(Design!$B$40),Constants!$C$6,Design!$B$40)/1000*(1+Constants!$C$31/100*(O27-25))-Design!$C$28) / (IF(ISBLANK(Design!$B$39),Design!$B$38,Design!$B$39)/1000000) * D27/100/(IF(ISBLANK(Design!$B$32),Design!$B$31,Design!$B$32)*1000000)&lt;0,0,($C$2-B27*IF(ISBLANK(Design!$B$40),Constants!$C$6,Design!$B$40)/1000*(1+Constants!$C$31/100*(O27-25))-Design!$C$28) / (IF(ISBLANK(Design!$B$39),Design!$B$38,Design!$B$39)/1000000) * D27/100/(IF(ISBLANK(Design!$B$32),Design!$B$31,Design!$B$32)*1000000))</f>
        <v>0.48716718075473614</v>
      </c>
      <c r="F27" s="208">
        <f>$C$2*Constants!$C$18/1000+IF(ISBLANK(Design!$B$32),Design!$B$31,Design!$B$32)*1000000*Constants!$D$22/1000000000*($C$2-Constants!$C$21)</f>
        <v>5.3999999999999999E-2</v>
      </c>
      <c r="G27" s="208">
        <f>$C$2*B27*($C$2/(Constants!$C$23*1000000000)*IF(ISBLANK(Design!$B$32),Design!$B$31,Design!$B$32)*1000000/2+$C$2/(Constants!$C$24*1000000000)*IF(ISBLANK(Design!$B$32),Design!$B$31,Design!$B$32)*1000000/2)</f>
        <v>0.17413533834586464</v>
      </c>
      <c r="H27" s="208">
        <f t="shared" ca="1" si="21"/>
        <v>0.28805684801628456</v>
      </c>
      <c r="I27" s="208">
        <f>Constants!$D$22/1000000000*Constants!$C$21*IF(ISBLANK(Design!$B$32),Design!$B$31,Design!$B$32)*1000000</f>
        <v>4.9999999999999996E-2</v>
      </c>
      <c r="J27" s="208">
        <f t="shared" ca="1" si="22"/>
        <v>0.5661921863621493</v>
      </c>
      <c r="K27" s="208">
        <f t="shared" ca="1" si="23"/>
        <v>0.45821499056877657</v>
      </c>
      <c r="L27" s="208">
        <f ca="1">B27^2*Design!$B$40/1000*(1+(O27-25)*(Constants!$C$31/100))</f>
        <v>0.13278477824409818</v>
      </c>
      <c r="M27" s="208">
        <f>0.5*Snubber!$B$16/1000000000000*$C$2^2*Design!$B$32*1000000</f>
        <v>3.0080000000000003E-2</v>
      </c>
      <c r="N27" s="209">
        <f ca="1">$A27+K27*Design!$B$19</f>
        <v>111.11825446242027</v>
      </c>
      <c r="O27" s="209">
        <f ca="1">J27*Design!$C$12+A27</f>
        <v>104.25053433631308</v>
      </c>
      <c r="P27" s="209">
        <f ca="1">Constants!$D$19+Constants!$D$19*Constants!$C$20/100*(O27-25)</f>
        <v>122.08347699994471</v>
      </c>
      <c r="Q27" s="208">
        <f ca="1">(1-Constants!$C$17/1000000000*Design!$B$32*1000000) * ($C$2+C27-B27*P27/1000) - (C27+B27*Design!$B$40/1000)</f>
        <v>6.626604466852724</v>
      </c>
      <c r="R27" s="208">
        <f ca="1">IF(Q27&gt;Design!$C$28,Design!$C$28,Q27)</f>
        <v>3.3239005736137672</v>
      </c>
      <c r="S27" s="208">
        <f t="shared" ca="1" si="24"/>
        <v>1.1872719551750242</v>
      </c>
      <c r="T27" s="208">
        <f t="shared" ca="1" si="25"/>
        <v>7.478776290630976</v>
      </c>
      <c r="U27" s="265">
        <f t="shared" ca="1" si="26"/>
        <v>86.299730609628071</v>
      </c>
      <c r="V27" s="224">
        <f t="shared" si="40"/>
        <v>2.25</v>
      </c>
      <c r="W27" s="159">
        <f ca="1">FORECAST(V27, OFFSET(Design!$C$15:$C$17,MATCH(V27,Design!$B$15:$B$17,1)-1,0,2), OFFSET(Design!$B$15:$B$17,MATCH(V27,Design!$B$15:$B$17,1)-1,0,2))+(AH27-25)*Design!$B$18/1000</f>
        <v>0.37325499757736036</v>
      </c>
      <c r="X27" s="225">
        <f ca="1">IF(100*(Design!$C$28+W27+V27*IF(ISBLANK(Design!$B$40),Constants!$C$6,Design!$B$40)/1000*(1+Constants!$C$31/100*(AI27-25)))/($W$2+W27-V27*AJ27/1000)&gt;Design!$C$35,Design!$C$35,100*(Design!$C$28+W27+V27*IF(ISBLANK(Design!$B$40),Constants!$C$6,Design!$B$40)/1000*(1+Constants!$C$31/100*(AI27-25)))/($W$2+W27-V27*AJ27/1000))</f>
        <v>31.07366928091891</v>
      </c>
      <c r="Y27" s="160">
        <f ca="1">($W$2-V27*IF(ISBLANK(Design!$B$40),Constants!$C$6,Design!$B$40)/1000*(1+Constants!$C$31/100*(AI27-25))-Design!$C$28) / (IF(ISBLANK(Design!$B$39),Design!$B$38,Design!$B$39)/1000000) * X27/100/(IF(ISBLANK(Design!$B$32),Design!$B$31,Design!$B$32)*1000000)</f>
        <v>0.60847912216644418</v>
      </c>
      <c r="Z27" s="226">
        <f>$W$2*Constants!$C$18/1000+IF(ISBLANK(Design!$B$32),Design!$B$31,Design!$B$32)*1000000*Constants!$D$22/1000000000*($W$2-Constants!$C$21)</f>
        <v>0.10600000000000001</v>
      </c>
      <c r="AA27" s="226">
        <f>$W$2*V27*($W$2/(Constants!$C$23*1000000000)*IF(ISBLANK(Design!$B$32),Design!$B$31,Design!$B$32)*1000000/2+$W$2/(Constants!$C$24*1000000000)*IF(ISBLANK(Design!$B$32),Design!$B$31,Design!$B$32)*1000000/2)</f>
        <v>0.39180451127819549</v>
      </c>
      <c r="AB27" s="226">
        <f t="shared" ca="1" si="27"/>
        <v>0.19823761090297831</v>
      </c>
      <c r="AC27" s="226">
        <f>Constants!$D$22/1000000000*Constants!$C$21*IF(ISBLANK(Design!$B$32),Design!$B$31,Design!$B$32)*1000000</f>
        <v>4.9999999999999996E-2</v>
      </c>
      <c r="AD27" s="226">
        <f t="shared" ca="1" si="28"/>
        <v>0.74604212218117383</v>
      </c>
      <c r="AE27" s="226">
        <f t="shared" ca="1" si="29"/>
        <v>0.57885969162525652</v>
      </c>
      <c r="AF27" s="226">
        <f ca="1">V27^2*Design!$B$40/1000*(1+(AI27-25)*(Constants!$C$31/100))</f>
        <v>0.13521797252204215</v>
      </c>
      <c r="AG27" s="226">
        <f>0.5*Snubber!$B$16/1000000000000*$W$2^2*Design!$B$32*1000000</f>
        <v>6.7680000000000004E-2</v>
      </c>
      <c r="AH27" s="227">
        <f ca="1">$A27+AE27*Design!$B$19</f>
        <v>117.99500242263963</v>
      </c>
      <c r="AI27" s="227">
        <f ca="1">AD27*Design!$C$12+$A27</f>
        <v>110.36543215415992</v>
      </c>
      <c r="AJ27" s="227">
        <f ca="1">Constants!$D$19+Constants!$D$19*Constants!$C$20/100*(AI27-25)</f>
        <v>125.25344002871651</v>
      </c>
      <c r="AK27" s="226">
        <f ca="1">(1-Constants!$C$17/1000000000*Design!$B$32*1000000) * ($W$2+W27-V27*AJ27/1000) - (W27+V27*Design!$B$40/1000)</f>
        <v>10.10129324145873</v>
      </c>
      <c r="AL27" s="226">
        <f ca="1">IF(AK27&gt;Design!$C$28,Design!$C$28,AK27)</f>
        <v>3.3239005736137672</v>
      </c>
      <c r="AM27" s="226">
        <f t="shared" ca="1" si="30"/>
        <v>1.5277997863284725</v>
      </c>
      <c r="AN27" s="226">
        <f t="shared" ca="1" si="31"/>
        <v>7.478776290630976</v>
      </c>
      <c r="AO27" s="269">
        <f t="shared" ca="1" si="32"/>
        <v>83.036841378191681</v>
      </c>
      <c r="AP27" s="238">
        <f t="shared" si="41"/>
        <v>2.25</v>
      </c>
      <c r="AQ27" s="161">
        <f ca="1">FORECAST(AP27, OFFSET(Design!$C$15:$C$17,MATCH(AP27,Design!$B$15:$B$17,1)-1,0,2), OFFSET(Design!$B$15:$B$17,MATCH(AP27,Design!$B$15:$B$17,1)-1,0,2))+(BB27-25)*Design!$B$18/1000</f>
        <v>0.36989432485515034</v>
      </c>
      <c r="AR27" s="239">
        <f ca="1">IF(100*(Design!$C$28+AQ27+AP27*IF(ISBLANK(Design!$B$40),Constants!$C$6,Design!$B$40)/1000*(1+Constants!$C$31/100*(BC27-25)))/($AQ$2+AQ27-AP27*BD27/1000)&gt;Design!$C$35,Design!$C$35,100*(Design!$C$28+AQ27+AP27*IF(ISBLANK(Design!$B$40),Constants!$C$6,Design!$B$40)/1000*(1+Constants!$C$31/100*(BC27-25)))/($AQ$2+AQ27-AP27*BD27/1000))</f>
        <v>23.363233546937064</v>
      </c>
      <c r="AS27" s="162">
        <f ca="1">($AQ$2-AP27*IF(ISBLANK(Design!$B$40),Constants!$C$6,Design!$B$40)/1000*(1+Constants!$C$31/100*(BC27-25))-Design!$C$28) / (IF(ISBLANK(Design!$B$39),Design!$B$38,Design!$B$39)/1000000) * AR27/100/(IF(ISBLANK(Design!$B$32),Design!$B$31,Design!$B$32)*1000000)</f>
        <v>0.66978739837971002</v>
      </c>
      <c r="AT27" s="240">
        <f>$AQ$2*Constants!$C$18/1000+IF(ISBLANK(Design!$B$32),Design!$B$31,Design!$B$32)*1000000*Constants!$D$22/1000000000*($AQ$2-Constants!$C$21)</f>
        <v>0.158</v>
      </c>
      <c r="AU27" s="240">
        <f>$AQ$2*AP27*($AQ$2/(Constants!$C$23*1000000000)*IF(ISBLANK(Design!$B$32),Design!$B$31,Design!$B$32)*1000000/2+$AQ$2/(Constants!$C$24*1000000000)*IF(ISBLANK(Design!$B$32),Design!$B$31,Design!$B$32)*1000000/2)</f>
        <v>0.69654135338345857</v>
      </c>
      <c r="AV27" s="240">
        <f t="shared" ca="1" si="33"/>
        <v>0.15584062619168793</v>
      </c>
      <c r="AW27" s="240">
        <f>Constants!$D$22/1000000000*Constants!$C$21*IF(ISBLANK(Design!$B$32),Design!$B$31,Design!$B$32)*1000000</f>
        <v>4.9999999999999996E-2</v>
      </c>
      <c r="AX27" s="240">
        <f t="shared" ca="1" si="34"/>
        <v>1.0603819795751466</v>
      </c>
      <c r="AY27" s="240">
        <f t="shared" ca="1" si="35"/>
        <v>0.63781886219034478</v>
      </c>
      <c r="AZ27" s="240">
        <f ca="1">AP27^2*Design!$B$40/1000*(1+(BC27-25)*(Constants!$C$31/100))</f>
        <v>0.13947068431122164</v>
      </c>
      <c r="BA27" s="240">
        <f>0.5*Snubber!$B$16/1000000000000*$AQ$2^2*Design!$B$32*1000000</f>
        <v>0.12032000000000001</v>
      </c>
      <c r="BB27" s="241">
        <f ca="1">$A27+AY27*Design!$B$19</f>
        <v>121.35567514484966</v>
      </c>
      <c r="BC27" s="241">
        <f ca="1">AX27*Design!$C$12+$A27</f>
        <v>121.05298730555498</v>
      </c>
      <c r="BD27" s="241">
        <f ca="1">Constants!$D$19+Constants!$D$19*Constants!$C$20/100*(BC27-25)</f>
        <v>130.79386861919971</v>
      </c>
      <c r="BE27" s="240">
        <f ca="1">(1-Constants!$C$17/1000000000*Design!$B$32*1000000) * ($AQ$2+AQ27-AP27*BD27/1000) - (AQ27+AP27*Design!$B$40/1000)</f>
        <v>13.570884739946745</v>
      </c>
      <c r="BF27" s="240">
        <f ca="1">IF(BE27&gt;Design!$C$28,Design!$C$28,BE27)</f>
        <v>3.3239005736137672</v>
      </c>
      <c r="BG27" s="240">
        <f t="shared" ca="1" si="36"/>
        <v>1.9579915260767131</v>
      </c>
      <c r="BH27" s="240">
        <f t="shared" ca="1" si="37"/>
        <v>7.478776290630976</v>
      </c>
      <c r="BI27" s="272">
        <f t="shared" ca="1" si="38"/>
        <v>79.251460202187957</v>
      </c>
    </row>
    <row r="28" spans="1:61" ht="12.75" customHeight="1">
      <c r="A28" s="155">
        <f>Design!$D$13</f>
        <v>85</v>
      </c>
      <c r="B28" s="275">
        <f t="shared" si="39"/>
        <v>2.5</v>
      </c>
      <c r="C28" s="157">
        <f ca="1">FORECAST(B28, OFFSET(Design!$C$15:$C$17,MATCH(B28,Design!$B$15:$B$17,1)-1,0,2), OFFSET(Design!$B$15:$B$17,MATCH(B28,Design!$B$15:$B$17,1)-1,0,2))+(N28-25)*Design!$B$18/1000</f>
        <v>0.3833995817120821</v>
      </c>
      <c r="D28" s="216">
        <f ca="1">IF(100*(Design!$C$28+C28+B28*IF(ISBLANK(Design!$B$40),Constants!$C$6,Design!$B$40)/1000*(1+Constants!$C$31/100*(O28-25)))/($C$2+C28-B28*P28/1000)&gt;Design!$C$35,Design!$C$35,100*(Design!$C$28+C28+B28*IF(ISBLANK(Design!$B$40),Constants!$C$6,Design!$B$40)/1000*(1+Constants!$C$31/100*(O28-25)))/($C$2+C28-B28*P28/1000))</f>
        <v>46.736128203980194</v>
      </c>
      <c r="E28" s="158">
        <f ca="1">IF(($C$2-B28*IF(ISBLANK(Design!$B$40),Constants!$C$6,Design!$B$40)/1000*(1+Constants!$C$31/100*(O28-25))-Design!$C$28) / (IF(ISBLANK(Design!$B$39),Design!$B$38,Design!$B$39)/1000000) * D28/100/(IF(ISBLANK(Design!$B$32),Design!$B$31,Design!$B$32)*1000000)&lt;0,0,($C$2-B28*IF(ISBLANK(Design!$B$40),Constants!$C$6,Design!$B$40)/1000*(1+Constants!$C$31/100*(O28-25))-Design!$C$28) / (IF(ISBLANK(Design!$B$39),Design!$B$38,Design!$B$39)/1000000) * D28/100/(IF(ISBLANK(Design!$B$32),Design!$B$31,Design!$B$32)*1000000))</f>
        <v>0.48965647939808749</v>
      </c>
      <c r="F28" s="208">
        <f>$C$2*Constants!$C$18/1000+IF(ISBLANK(Design!$B$32),Design!$B$31,Design!$B$32)*1000000*Constants!$D$22/1000000000*($C$2-Constants!$C$21)</f>
        <v>5.3999999999999999E-2</v>
      </c>
      <c r="G28" s="208">
        <f>$C$2*B28*($C$2/(Constants!$C$23*1000000000)*IF(ISBLANK(Design!$B$32),Design!$B$31,Design!$B$32)*1000000/2+$C$2/(Constants!$C$24*1000000000)*IF(ISBLANK(Design!$B$32),Design!$B$31,Design!$B$32)*1000000/2)</f>
        <v>0.19348370927318295</v>
      </c>
      <c r="H28" s="208">
        <f t="shared" ca="1" si="21"/>
        <v>0.36259604049523064</v>
      </c>
      <c r="I28" s="208">
        <f>Constants!$D$22/1000000000*Constants!$C$21*IF(ISBLANK(Design!$B$32),Design!$B$31,Design!$B$32)*1000000</f>
        <v>4.9999999999999996E-2</v>
      </c>
      <c r="J28" s="208">
        <f t="shared" ca="1" si="22"/>
        <v>0.66007974976841366</v>
      </c>
      <c r="K28" s="208">
        <f t="shared" ca="1" si="23"/>
        <v>0.5105336541739991</v>
      </c>
      <c r="L28" s="208">
        <f ca="1">B28^2*Design!$B$40/1000*(1+(O28-25)*(Constants!$C$31/100))</f>
        <v>0.16549998202050692</v>
      </c>
      <c r="M28" s="208">
        <f>0.5*Snubber!$B$16/1000000000000*$C$2^2*Design!$B$32*1000000</f>
        <v>3.0080000000000003E-2</v>
      </c>
      <c r="N28" s="209">
        <f ca="1">$A28+K28*Design!$B$19</f>
        <v>114.10041828791795</v>
      </c>
      <c r="O28" s="209">
        <f ca="1">J28*Design!$C$12+A28</f>
        <v>107.44271149212607</v>
      </c>
      <c r="P28" s="209">
        <f ca="1">Constants!$D$19+Constants!$D$19*Constants!$C$20/100*(O28-25)</f>
        <v>123.73830163751816</v>
      </c>
      <c r="Q28" s="208">
        <f ca="1">(1-Constants!$C$17/1000000000*Design!$B$32*1000000) * ($C$2+C28-B28*P28/1000) - (C28+B28*Design!$B$40/1000)</f>
        <v>6.591027248315827</v>
      </c>
      <c r="R28" s="208">
        <f ca="1">IF(Q28&gt;Design!$C$28,Design!$C$28,Q28)</f>
        <v>3.3239005736137672</v>
      </c>
      <c r="S28" s="208">
        <f t="shared" ca="1" si="24"/>
        <v>1.3661933859629198</v>
      </c>
      <c r="T28" s="208">
        <f t="shared" ca="1" si="25"/>
        <v>8.3097514340344176</v>
      </c>
      <c r="U28" s="265">
        <f t="shared" ca="1" si="26"/>
        <v>85.880516979185344</v>
      </c>
      <c r="V28" s="224">
        <f t="shared" si="40"/>
        <v>2.5</v>
      </c>
      <c r="W28" s="159">
        <f ca="1">FORECAST(V28, OFFSET(Design!$C$15:$C$17,MATCH(V28,Design!$B$15:$B$17,1)-1,0,2), OFFSET(Design!$B$15:$B$17,MATCH(V28,Design!$B$15:$B$17,1)-1,0,2))+(AH28-25)*Design!$B$18/1000</f>
        <v>0.37568867499837089</v>
      </c>
      <c r="X28" s="225">
        <f ca="1">IF(100*(Design!$C$28+W28+V28*IF(ISBLANK(Design!$B$40),Constants!$C$6,Design!$B$40)/1000*(1+Constants!$C$31/100*(AI28-25)))/($W$2+W28-V28*AJ28/1000)&gt;Design!$C$35,Design!$C$35,100*(Design!$C$28+W28+V28*IF(ISBLANK(Design!$B$40),Constants!$C$6,Design!$B$40)/1000*(1+Constants!$C$31/100*(AI28-25)))/($W$2+W28-V28*AJ28/1000))</f>
        <v>31.239586146201844</v>
      </c>
      <c r="Y28" s="160">
        <f ca="1">($W$2-V28*IF(ISBLANK(Design!$B$40),Constants!$C$6,Design!$B$40)/1000*(1+Constants!$C$31/100*(AI28-25))-Design!$C$28) / (IF(ISBLANK(Design!$B$39),Design!$B$38,Design!$B$39)/1000000) * X28/100/(IF(ISBLANK(Design!$B$32),Design!$B$31,Design!$B$32)*1000000)</f>
        <v>0.61120924035904223</v>
      </c>
      <c r="Z28" s="226">
        <f>$W$2*Constants!$C$18/1000+IF(ISBLANK(Design!$B$32),Design!$B$31,Design!$B$32)*1000000*Constants!$D$22/1000000000*($W$2-Constants!$C$21)</f>
        <v>0.10600000000000001</v>
      </c>
      <c r="AA28" s="226">
        <f>$W$2*V28*($W$2/(Constants!$C$23*1000000000)*IF(ISBLANK(Design!$B$32),Design!$B$31,Design!$B$32)*1000000/2+$W$2/(Constants!$C$24*1000000000)*IF(ISBLANK(Design!$B$32),Design!$B$31,Design!$B$32)*1000000/2)</f>
        <v>0.43533834586466164</v>
      </c>
      <c r="AB28" s="226">
        <f t="shared" ca="1" si="27"/>
        <v>0.24903465970293903</v>
      </c>
      <c r="AC28" s="226">
        <f>Constants!$D$22/1000000000*Constants!$C$21*IF(ISBLANK(Design!$B$32),Design!$B$31,Design!$B$32)*1000000</f>
        <v>4.9999999999999996E-2</v>
      </c>
      <c r="AD28" s="226">
        <f t="shared" ca="1" si="28"/>
        <v>0.84037300556760075</v>
      </c>
      <c r="AE28" s="226">
        <f t="shared" ca="1" si="29"/>
        <v>0.64581271932682638</v>
      </c>
      <c r="AF28" s="226">
        <f ca="1">V28^2*Design!$B$40/1000*(1+(AI28-25)*(Constants!$C$31/100))</f>
        <v>0.16851133012549285</v>
      </c>
      <c r="AG28" s="226">
        <f>0.5*Snubber!$B$16/1000000000000*$W$2^2*Design!$B$32*1000000</f>
        <v>6.7680000000000004E-2</v>
      </c>
      <c r="AH28" s="227">
        <f ca="1">$A28+AE28*Design!$B$19</f>
        <v>121.8113250016291</v>
      </c>
      <c r="AI28" s="227">
        <f ca="1">AD28*Design!$C$12+$A28</f>
        <v>113.57268218929843</v>
      </c>
      <c r="AJ28" s="227">
        <f ca="1">Constants!$D$19+Constants!$D$19*Constants!$C$20/100*(AI28-25)</f>
        <v>126.91607844693232</v>
      </c>
      <c r="AK28" s="226">
        <f ca="1">(1-Constants!$C$17/1000000000*Design!$B$32*1000000) * ($W$2+W28-V28*AJ28/1000) - (W28+V28*Design!$B$40/1000)</f>
        <v>10.065118001628134</v>
      </c>
      <c r="AL28" s="226">
        <f ca="1">IF(AK28&gt;Design!$C$28,Design!$C$28,AK28)</f>
        <v>3.3239005736137672</v>
      </c>
      <c r="AM28" s="226">
        <f t="shared" ca="1" si="30"/>
        <v>1.7223770550199198</v>
      </c>
      <c r="AN28" s="226">
        <f t="shared" ca="1" si="31"/>
        <v>8.3097514340344176</v>
      </c>
      <c r="AO28" s="269">
        <f t="shared" ca="1" si="32"/>
        <v>82.831389600929271</v>
      </c>
      <c r="AP28" s="238">
        <f t="shared" si="41"/>
        <v>2.5</v>
      </c>
      <c r="AQ28" s="161">
        <f ca="1">FORECAST(AP28, OFFSET(Design!$C$15:$C$17,MATCH(AP28,Design!$B$15:$B$17,1)-1,0,2), OFFSET(Design!$B$15:$B$17,MATCH(AP28,Design!$B$15:$B$17,1)-1,0,2))+(BB28-25)*Design!$B$18/1000</f>
        <v>0.37194107214347005</v>
      </c>
      <c r="AR28" s="239">
        <f ca="1">IF(100*(Design!$C$28+AQ28+AP28*IF(ISBLANK(Design!$B$40),Constants!$C$6,Design!$B$40)/1000*(1+Constants!$C$31/100*(BC28-25)))/($AQ$2+AQ28-AP28*BD28/1000)&gt;Design!$C$35,Design!$C$35,100*(Design!$C$28+AQ28+AP28*IF(ISBLANK(Design!$B$40),Constants!$C$6,Design!$B$40)/1000*(1+Constants!$C$31/100*(BC28-25)))/($AQ$2+AQ28-AP28*BD28/1000))</f>
        <v>23.476035197383379</v>
      </c>
      <c r="AS28" s="162">
        <f ca="1">($AQ$2-AP28*IF(ISBLANK(Design!$B$40),Constants!$C$6,Design!$B$40)/1000*(1+Constants!$C$31/100*(BC28-25))-Design!$C$28) / (IF(ISBLANK(Design!$B$39),Design!$B$38,Design!$B$39)/1000000) * AR28/100/(IF(ISBLANK(Design!$B$32),Design!$B$31,Design!$B$32)*1000000)</f>
        <v>0.67261182019974886</v>
      </c>
      <c r="AT28" s="240">
        <f>$AQ$2*Constants!$C$18/1000+IF(ISBLANK(Design!$B$32),Design!$B$31,Design!$B$32)*1000000*Constants!$D$22/1000000000*($AQ$2-Constants!$C$21)</f>
        <v>0.158</v>
      </c>
      <c r="AU28" s="240">
        <f>$AQ$2*AP28*($AQ$2/(Constants!$C$23*1000000000)*IF(ISBLANK(Design!$B$32),Design!$B$31,Design!$B$32)*1000000/2+$AQ$2/(Constants!$C$24*1000000000)*IF(ISBLANK(Design!$B$32),Design!$B$31,Design!$B$32)*1000000/2)</f>
        <v>0.77393483709273181</v>
      </c>
      <c r="AV28" s="240">
        <f t="shared" ca="1" si="33"/>
        <v>0.19612689237806491</v>
      </c>
      <c r="AW28" s="240">
        <f>Constants!$D$22/1000000000*Constants!$C$21*IF(ISBLANK(Design!$B$32),Design!$B$31,Design!$B$32)*1000000</f>
        <v>4.9999999999999996E-2</v>
      </c>
      <c r="AX28" s="240">
        <f t="shared" ca="1" si="34"/>
        <v>1.1780617294707969</v>
      </c>
      <c r="AY28" s="240">
        <f t="shared" ca="1" si="35"/>
        <v>0.71156013783385974</v>
      </c>
      <c r="AZ28" s="240">
        <f ca="1">AP28^2*Design!$B$40/1000*(1+(BC28-25)*(Constants!$C$31/100))</f>
        <v>0.17415157603648601</v>
      </c>
      <c r="BA28" s="240">
        <f>0.5*Snubber!$B$16/1000000000000*$AQ$2^2*Design!$B$32*1000000</f>
        <v>0.12032000000000001</v>
      </c>
      <c r="BB28" s="241">
        <f ca="1">$A28+AY28*Design!$B$19</f>
        <v>125.55892785653</v>
      </c>
      <c r="BC28" s="241">
        <f ca="1">AX28*Design!$C$12+$A28</f>
        <v>125.0540988020071</v>
      </c>
      <c r="BD28" s="241">
        <f ca="1">Constants!$D$19+Constants!$D$19*Constants!$C$20/100*(BC28-25)</f>
        <v>132.8680448189605</v>
      </c>
      <c r="BE28" s="240">
        <f ca="1">(1-Constants!$C$17/1000000000*Design!$B$32*1000000) * ($AQ$2+AQ28-AP28*BD28/1000) - (AQ28+AP28*Design!$B$40/1000)</f>
        <v>13.532659663140111</v>
      </c>
      <c r="BF28" s="240">
        <f ca="1">IF(BE28&gt;Design!$C$28,Design!$C$28,BE28)</f>
        <v>3.3239005736137672</v>
      </c>
      <c r="BG28" s="240">
        <f t="shared" ca="1" si="36"/>
        <v>2.1840934433411427</v>
      </c>
      <c r="BH28" s="240">
        <f t="shared" ca="1" si="37"/>
        <v>8.3097514340344176</v>
      </c>
      <c r="BI28" s="272">
        <f t="shared" ca="1" si="38"/>
        <v>79.186909384852939</v>
      </c>
    </row>
    <row r="29" spans="1:61" ht="12.75" customHeight="1">
      <c r="A29" s="155">
        <f>Design!$D$13</f>
        <v>85</v>
      </c>
      <c r="B29" s="275">
        <f t="shared" si="39"/>
        <v>2.75</v>
      </c>
      <c r="C29" s="157">
        <f ca="1">FORECAST(B29, OFFSET(Design!$C$15:$C$17,MATCH(B29,Design!$B$15:$B$17,1)-1,0,2), OFFSET(Design!$B$15:$B$17,MATCH(B29,Design!$B$15:$B$17,1)-1,0,2))+(N29-25)*Design!$B$18/1000</f>
        <v>0.38666277922878733</v>
      </c>
      <c r="D29" s="216">
        <f ca="1">IF(100*(Design!$C$28+C29+B29*IF(ISBLANK(Design!$B$40),Constants!$C$6,Design!$B$40)/1000*(1+Constants!$C$31/100*(O29-25)))/($C$2+C29-B29*P29/1000)&gt;Design!$C$35,Design!$C$35,100*(Design!$C$28+C29+B29*IF(ISBLANK(Design!$B$40),Constants!$C$6,Design!$B$40)/1000*(1+Constants!$C$31/100*(O29-25)))/($C$2+C29-B29*P29/1000))</f>
        <v>47.058994604279825</v>
      </c>
      <c r="E29" s="158">
        <f ca="1">IF(($C$2-B29*IF(ISBLANK(Design!$B$40),Constants!$C$6,Design!$B$40)/1000*(1+Constants!$C$31/100*(O29-25))-Design!$C$28) / (IF(ISBLANK(Design!$B$39),Design!$B$38,Design!$B$39)/1000000) * D29/100/(IF(ISBLANK(Design!$B$32),Design!$B$31,Design!$B$32)*1000000)&lt;0,0,($C$2-B29*IF(ISBLANK(Design!$B$40),Constants!$C$6,Design!$B$40)/1000*(1+Constants!$C$31/100*(O29-25))-Design!$C$28) / (IF(ISBLANK(Design!$B$39),Design!$B$38,Design!$B$39)/1000000) * D29/100/(IF(ISBLANK(Design!$B$32),Design!$B$31,Design!$B$32)*1000000))</f>
        <v>0.49224869764533496</v>
      </c>
      <c r="F29" s="208">
        <f>$C$2*Constants!$C$18/1000+IF(ISBLANK(Design!$B$32),Design!$B$31,Design!$B$32)*1000000*Constants!$D$22/1000000000*($C$2-Constants!$C$21)</f>
        <v>5.3999999999999999E-2</v>
      </c>
      <c r="G29" s="208">
        <f>$C$2*B29*($C$2/(Constants!$C$23*1000000000)*IF(ISBLANK(Design!$B$32),Design!$B$31,Design!$B$32)*1000000/2+$C$2/(Constants!$C$24*1000000000)*IF(ISBLANK(Design!$B$32),Design!$B$31,Design!$B$32)*1000000/2)</f>
        <v>0.21283208020050126</v>
      </c>
      <c r="H29" s="208">
        <f t="shared" ca="1" si="21"/>
        <v>0.44813711198465528</v>
      </c>
      <c r="I29" s="208">
        <f>Constants!$D$22/1000000000*Constants!$C$21*IF(ISBLANK(Design!$B$32),Design!$B$31,Design!$B$32)*1000000</f>
        <v>4.9999999999999996E-2</v>
      </c>
      <c r="J29" s="208">
        <f t="shared" ca="1" si="22"/>
        <v>0.76496919218515658</v>
      </c>
      <c r="K29" s="208">
        <f t="shared" ca="1" si="23"/>
        <v>0.56293369774057322</v>
      </c>
      <c r="L29" s="208">
        <f ca="1">B29^2*Design!$B$40/1000*(1+(O29-25)*(Constants!$C$31/100))</f>
        <v>0.20237479649829182</v>
      </c>
      <c r="M29" s="208">
        <f>0.5*Snubber!$B$16/1000000000000*$C$2^2*Design!$B$32*1000000</f>
        <v>3.0080000000000003E-2</v>
      </c>
      <c r="N29" s="209">
        <f ca="1">$A29+K29*Design!$B$19</f>
        <v>117.08722077121267</v>
      </c>
      <c r="O29" s="209">
        <f ca="1">J29*Design!$C$12+A29</f>
        <v>111.00895253429533</v>
      </c>
      <c r="P29" s="209">
        <f ca="1">Constants!$D$19+Constants!$D$19*Constants!$C$20/100*(O29-25)</f>
        <v>125.58704099377871</v>
      </c>
      <c r="Q29" s="208">
        <f ca="1">(1-Constants!$C$17/1000000000*Design!$B$32*1000000) * ($C$2+C29-B29*P29/1000) - (C29+B29*Design!$B$40/1000)</f>
        <v>6.554266843122643</v>
      </c>
      <c r="R29" s="208">
        <f ca="1">IF(Q29&gt;Design!$C$28,Design!$C$28,Q29)</f>
        <v>3.3239005736137672</v>
      </c>
      <c r="S29" s="208">
        <f t="shared" ca="1" si="24"/>
        <v>1.5603576864240218</v>
      </c>
      <c r="T29" s="208">
        <f t="shared" ca="1" si="25"/>
        <v>9.1407265774378601</v>
      </c>
      <c r="U29" s="265">
        <f t="shared" ca="1" si="26"/>
        <v>85.418695452259641</v>
      </c>
      <c r="V29" s="224">
        <f t="shared" si="40"/>
        <v>2.75</v>
      </c>
      <c r="W29" s="159">
        <f ca="1">FORECAST(V29, OFFSET(Design!$C$15:$C$17,MATCH(V29,Design!$B$15:$B$17,1)-1,0,2), OFFSET(Design!$B$15:$B$17,MATCH(V29,Design!$B$15:$B$17,1)-1,0,2))+(AH29-25)*Design!$B$18/1000</f>
        <v>0.3780992302427727</v>
      </c>
      <c r="X29" s="225">
        <f ca="1">IF(100*(Design!$C$28+W29+V29*IF(ISBLANK(Design!$B$40),Constants!$C$6,Design!$B$40)/1000*(1+Constants!$C$31/100*(AI29-25)))/($W$2+W29-V29*AJ29/1000)&gt;Design!$C$35,Design!$C$35,100*(Design!$C$28+W29+V29*IF(ISBLANK(Design!$B$40),Constants!$C$6,Design!$B$40)/1000*(1+Constants!$C$31/100*(AI29-25)))/($W$2+W29-V29*AJ29/1000))</f>
        <v>31.41084838864473</v>
      </c>
      <c r="Y29" s="160">
        <f ca="1">($W$2-V29*IF(ISBLANK(Design!$B$40),Constants!$C$6,Design!$B$40)/1000*(1+Constants!$C$31/100*(AI29-25))-Design!$C$28) / (IF(ISBLANK(Design!$B$39),Design!$B$38,Design!$B$39)/1000000) * X29/100/(IF(ISBLANK(Design!$B$32),Design!$B$31,Design!$B$32)*1000000)</f>
        <v>0.61402558201781743</v>
      </c>
      <c r="Z29" s="226">
        <f>$W$2*Constants!$C$18/1000+IF(ISBLANK(Design!$B$32),Design!$B$31,Design!$B$32)*1000000*Constants!$D$22/1000000000*($W$2-Constants!$C$21)</f>
        <v>0.10600000000000001</v>
      </c>
      <c r="AA29" s="226">
        <f>$W$2*V29*($W$2/(Constants!$C$23*1000000000)*IF(ISBLANK(Design!$B$32),Design!$B$31,Design!$B$32)*1000000/2+$W$2/(Constants!$C$24*1000000000)*IF(ISBLANK(Design!$B$32),Design!$B$31,Design!$B$32)*1000000/2)</f>
        <v>0.47887218045112778</v>
      </c>
      <c r="AB29" s="226">
        <f t="shared" ca="1" si="27"/>
        <v>0.30700212370344426</v>
      </c>
      <c r="AC29" s="226">
        <f>Constants!$D$22/1000000000*Constants!$C$21*IF(ISBLANK(Design!$B$32),Design!$B$31,Design!$B$32)*1000000</f>
        <v>4.9999999999999996E-2</v>
      </c>
      <c r="AD29" s="226">
        <f t="shared" ca="1" si="28"/>
        <v>0.94187430415457207</v>
      </c>
      <c r="AE29" s="226">
        <f t="shared" ca="1" si="29"/>
        <v>0.71317139924960216</v>
      </c>
      <c r="AF29" s="226">
        <f ca="1">V29^2*Design!$B$40/1000*(1+(AI29-25)*(Constants!$C$31/100))</f>
        <v>0.20595005323382151</v>
      </c>
      <c r="AG29" s="226">
        <f>0.5*Snubber!$B$16/1000000000000*$W$2^2*Design!$B$32*1000000</f>
        <v>6.7680000000000004E-2</v>
      </c>
      <c r="AH29" s="227">
        <f ca="1">$A29+AE29*Design!$B$19</f>
        <v>125.65076975722732</v>
      </c>
      <c r="AI29" s="227">
        <f ca="1">AD29*Design!$C$12+$A29</f>
        <v>117.02372634125545</v>
      </c>
      <c r="AJ29" s="227">
        <f ca="1">Constants!$D$19+Constants!$D$19*Constants!$C$20/100*(AI29-25)</f>
        <v>128.70509973530685</v>
      </c>
      <c r="AK29" s="226">
        <f ca="1">(1-Constants!$C$17/1000000000*Design!$B$32*1000000) * ($W$2+W29-V29*AJ29/1000) - (W29+V29*Design!$B$40/1000)</f>
        <v>10.027920148951718</v>
      </c>
      <c r="AL29" s="226">
        <f ca="1">IF(AK29&gt;Design!$C$28,Design!$C$28,AK29)</f>
        <v>3.3239005736137672</v>
      </c>
      <c r="AM29" s="226">
        <f t="shared" ca="1" si="30"/>
        <v>1.9286757566379957</v>
      </c>
      <c r="AN29" s="226">
        <f t="shared" ca="1" si="31"/>
        <v>9.1407265774378601</v>
      </c>
      <c r="AO29" s="269">
        <f t="shared" ca="1" si="32"/>
        <v>82.576514084226631</v>
      </c>
      <c r="AP29" s="238">
        <f t="shared" si="41"/>
        <v>2.75</v>
      </c>
      <c r="AQ29" s="161">
        <f ca="1">FORECAST(AP29, OFFSET(Design!$C$15:$C$17,MATCH(AP29,Design!$B$15:$B$17,1)-1,0,2), OFFSET(Design!$B$15:$B$17,MATCH(AP29,Design!$B$15:$B$17,1)-1,0,2))+(BB29-25)*Design!$B$18/1000</f>
        <v>0.37396108679877466</v>
      </c>
      <c r="AR29" s="239">
        <f ca="1">IF(100*(Design!$C$28+AQ29+AP29*IF(ISBLANK(Design!$B$40),Constants!$C$6,Design!$B$40)/1000*(1+Constants!$C$31/100*(BC29-25)))/($AQ$2+AQ29-AP29*BD29/1000)&gt;Design!$C$35,Design!$C$35,100*(Design!$C$28+AQ29+AP29*IF(ISBLANK(Design!$B$40),Constants!$C$6,Design!$B$40)/1000*(1+Constants!$C$31/100*(BC29-25)))/($AQ$2+AQ29-AP29*BD29/1000))</f>
        <v>23.592399435267023</v>
      </c>
      <c r="AS29" s="162">
        <f ca="1">($AQ$2-AP29*IF(ISBLANK(Design!$B$40),Constants!$C$6,Design!$B$40)/1000*(1+Constants!$C$31/100*(BC29-25))-Design!$C$28) / (IF(ISBLANK(Design!$B$39),Design!$B$38,Design!$B$39)/1000000) * AR29/100/(IF(ISBLANK(Design!$B$32),Design!$B$31,Design!$B$32)*1000000)</f>
        <v>0.67552362411064049</v>
      </c>
      <c r="AT29" s="240">
        <f>$AQ$2*Constants!$C$18/1000+IF(ISBLANK(Design!$B$32),Design!$B$31,Design!$B$32)*1000000*Constants!$D$22/1000000000*($AQ$2-Constants!$C$21)</f>
        <v>0.158</v>
      </c>
      <c r="AU29" s="240">
        <f>$AQ$2*AP29*($AQ$2/(Constants!$C$23*1000000000)*IF(ISBLANK(Design!$B$32),Design!$B$31,Design!$B$32)*1000000/2+$AQ$2/(Constants!$C$24*1000000000)*IF(ISBLANK(Design!$B$32),Design!$B$31,Design!$B$32)*1000000/2)</f>
        <v>0.85132832080200505</v>
      </c>
      <c r="AV29" s="240">
        <f t="shared" ca="1" si="33"/>
        <v>0.24215261569790428</v>
      </c>
      <c r="AW29" s="240">
        <f>Constants!$D$22/1000000000*Constants!$C$21*IF(ISBLANK(Design!$B$32),Design!$B$31,Design!$B$32)*1000000</f>
        <v>4.9999999999999996E-2</v>
      </c>
      <c r="AX29" s="240">
        <f t="shared" ca="1" si="34"/>
        <v>1.3014809364999094</v>
      </c>
      <c r="AY29" s="240">
        <f t="shared" ca="1" si="35"/>
        <v>0.78577040703904089</v>
      </c>
      <c r="AZ29" s="240">
        <f ca="1">AP29^2*Design!$B$40/1000*(1+(BC29-25)*(Constants!$C$31/100))</f>
        <v>0.2132177122636866</v>
      </c>
      <c r="BA29" s="240">
        <f>0.5*Snubber!$B$16/1000000000000*$AQ$2^2*Design!$B$32*1000000</f>
        <v>0.12032000000000001</v>
      </c>
      <c r="BB29" s="241">
        <f ca="1">$A29+AY29*Design!$B$19</f>
        <v>129.78891320122534</v>
      </c>
      <c r="BC29" s="241">
        <f ca="1">AX29*Design!$C$12+$A29</f>
        <v>129.25035184099693</v>
      </c>
      <c r="BD29" s="241">
        <f ca="1">Constants!$D$19+Constants!$D$19*Constants!$C$20/100*(BC29-25)</f>
        <v>135.04338239437283</v>
      </c>
      <c r="BE29" s="240">
        <f ca="1">(1-Constants!$C$17/1000000000*Design!$B$32*1000000) * ($AQ$2+AQ29-AP29*BD29/1000) - (AQ29+AP29*Design!$B$40/1000)</f>
        <v>13.493293766337622</v>
      </c>
      <c r="BF29" s="240">
        <f ca="1">IF(BE29&gt;Design!$C$28,Design!$C$28,BE29)</f>
        <v>3.3239005736137672</v>
      </c>
      <c r="BG29" s="240">
        <f t="shared" ca="1" si="36"/>
        <v>2.4207890558026368</v>
      </c>
      <c r="BH29" s="240">
        <f t="shared" ca="1" si="37"/>
        <v>9.1407265774378601</v>
      </c>
      <c r="BI29" s="272">
        <f t="shared" ca="1" si="38"/>
        <v>79.061663430678337</v>
      </c>
    </row>
    <row r="30" spans="1:61" ht="12.75" customHeight="1">
      <c r="A30" s="155">
        <f>Design!$D$13</f>
        <v>85</v>
      </c>
      <c r="B30" s="275">
        <f>B29+0.25</f>
        <v>3</v>
      </c>
      <c r="C30" s="157">
        <f ca="1">FORECAST(B30, OFFSET(Design!$C$15:$C$17,MATCH(B30,Design!$B$15:$B$17,1)-1,0,2), OFFSET(Design!$B$15:$B$17,MATCH(B30,Design!$B$15:$B$17,1)-1,0,2))+(N30-25)*Design!$B$18/1000</f>
        <v>0.38992555838342841</v>
      </c>
      <c r="D30" s="216">
        <f ca="1">IF(100*(Design!$C$28+C30+B30*IF(ISBLANK(Design!$B$40),Constants!$C$6,Design!$B$40)/1000*(1+Constants!$C$31/100*(O30-25)))/($C$2+C30-B30*P30/1000)&gt;Design!$C$35,Design!$C$35,100*(Design!$C$28+C30+B30*IF(ISBLANK(Design!$B$40),Constants!$C$6,Design!$B$40)/1000*(1+Constants!$C$31/100*(O30-25)))/($C$2+C30-B30*P30/1000))</f>
        <v>47.396704510847897</v>
      </c>
      <c r="E30" s="158">
        <f ca="1">IF(($C$2-B30*IF(ISBLANK(Design!$B$40),Constants!$C$6,Design!$B$40)/1000*(1+Constants!$C$31/100*(O30-25))-Design!$C$28) / (IF(ISBLANK(Design!$B$39),Design!$B$38,Design!$B$39)/1000000) * D30/100/(IF(ISBLANK(Design!$B$32),Design!$B$31,Design!$B$32)*1000000)&lt;0,0,($C$2-B30*IF(ISBLANK(Design!$B$40),Constants!$C$6,Design!$B$40)/1000*(1+Constants!$C$31/100*(O30-25))-Design!$C$28) / (IF(ISBLANK(Design!$B$39),Design!$B$38,Design!$B$39)/1000000) * D30/100/(IF(ISBLANK(Design!$B$32),Design!$B$31,Design!$B$32)*1000000))</f>
        <v>0.4949595677650504</v>
      </c>
      <c r="F30" s="208">
        <f>$C$2*Constants!$C$18/1000+IF(ISBLANK(Design!$B$32),Design!$B$31,Design!$B$32)*1000000*Constants!$D$22/1000000000*($C$2-Constants!$C$21)</f>
        <v>5.3999999999999999E-2</v>
      </c>
      <c r="G30" s="208">
        <f>$C$2*B30*($C$2/(Constants!$C$23*1000000000)*IF(ISBLANK(Design!$B$32),Design!$B$31,Design!$B$32)*1000000/2+$C$2/(Constants!$C$24*1000000000)*IF(ISBLANK(Design!$B$32),Design!$B$31,Design!$B$32)*1000000/2)</f>
        <v>0.23218045112781954</v>
      </c>
      <c r="H30" s="208">
        <f t="shared" ca="1" si="21"/>
        <v>0.54574570219788032</v>
      </c>
      <c r="I30" s="208">
        <f>Constants!$D$22/1000000000*Constants!$C$21*IF(ISBLANK(Design!$B$32),Design!$B$31,Design!$B$32)*1000000</f>
        <v>4.9999999999999996E-2</v>
      </c>
      <c r="J30" s="208">
        <f t="shared" ca="1" si="22"/>
        <v>0.8819261533256999</v>
      </c>
      <c r="K30" s="208">
        <f t="shared" ca="1" si="23"/>
        <v>0.61534108099248341</v>
      </c>
      <c r="L30" s="208">
        <f ca="1">B30^2*Design!$B$40/1000*(1+(O30-25)*(Constants!$C$31/100))</f>
        <v>0.24365573506932842</v>
      </c>
      <c r="M30" s="208">
        <f>0.5*Snubber!$B$16/1000000000000*$C$2^2*Design!$B$32*1000000</f>
        <v>3.0080000000000003E-2</v>
      </c>
      <c r="N30" s="209">
        <f ca="1">$A30+K30*Design!$B$19</f>
        <v>120.07444161657156</v>
      </c>
      <c r="O30" s="209">
        <f ca="1">J30*Design!$C$12+A30</f>
        <v>114.98548921307381</v>
      </c>
      <c r="P30" s="209">
        <f ca="1">Constants!$D$19+Constants!$D$19*Constants!$C$20/100*(O30-25)</f>
        <v>127.64847760805748</v>
      </c>
      <c r="Q30" s="208">
        <f ca="1">(1-Constants!$C$17/1000000000*Design!$B$32*1000000) * ($C$2+C30-B30*P30/1000) - (C30+B30*Design!$B$40/1000)</f>
        <v>6.5161471508531239</v>
      </c>
      <c r="R30" s="208">
        <f ca="1">IF(Q30&gt;Design!$C$28,Design!$C$28,Q30)</f>
        <v>3.3239005736137672</v>
      </c>
      <c r="S30" s="208">
        <f t="shared" ca="1" si="24"/>
        <v>1.771002969387512</v>
      </c>
      <c r="T30" s="208">
        <f t="shared" ca="1" si="25"/>
        <v>9.9717017208413026</v>
      </c>
      <c r="U30" s="265">
        <f t="shared" ca="1" si="26"/>
        <v>84.918270397609717</v>
      </c>
      <c r="V30" s="224">
        <f t="shared" si="40"/>
        <v>3</v>
      </c>
      <c r="W30" s="159">
        <f ca="1">FORECAST(V30, OFFSET(Design!$C$15:$C$17,MATCH(V30,Design!$B$15:$B$17,1)-1,0,2), OFFSET(Design!$B$15:$B$17,MATCH(V30,Design!$B$15:$B$17,1)-1,0,2))+(AH30-25)*Design!$B$18/1000</f>
        <v>0.38048873767035313</v>
      </c>
      <c r="X30" s="225">
        <f ca="1">IF(100*(Design!$C$28+W30+V30*IF(ISBLANK(Design!$B$40),Constants!$C$6,Design!$B$40)/1000*(1+Constants!$C$31/100*(AI30-25)))/($W$2+W30-V30*AJ30/1000)&gt;Design!$C$35,Design!$C$35,100*(Design!$C$28+W30+V30*IF(ISBLANK(Design!$B$40),Constants!$C$6,Design!$B$40)/1000*(1+Constants!$C$31/100*(AI30-25)))/($W$2+W30-V30*AJ30/1000))</f>
        <v>31.588046127385002</v>
      </c>
      <c r="Y30" s="160">
        <f ca="1">($W$2-V30*IF(ISBLANK(Design!$B$40),Constants!$C$6,Design!$B$40)/1000*(1+Constants!$C$31/100*(AI30-25))-Design!$C$28) / (IF(ISBLANK(Design!$B$39),Design!$B$38,Design!$B$39)/1000000) * X30/100/(IF(ISBLANK(Design!$B$32),Design!$B$31,Design!$B$32)*1000000)</f>
        <v>0.61693784849320876</v>
      </c>
      <c r="Z30" s="226">
        <f>$W$2*Constants!$C$18/1000+IF(ISBLANK(Design!$B$32),Design!$B$31,Design!$B$32)*1000000*Constants!$D$22/1000000000*($W$2-Constants!$C$21)</f>
        <v>0.10600000000000001</v>
      </c>
      <c r="AA30" s="226">
        <f>$W$2*V30*($W$2/(Constants!$C$23*1000000000)*IF(ISBLANK(Design!$B$32),Design!$B$31,Design!$B$32)*1000000/2+$W$2/(Constants!$C$24*1000000000)*IF(ISBLANK(Design!$B$32),Design!$B$31,Design!$B$32)*1000000/2)</f>
        <v>0.52240601503759398</v>
      </c>
      <c r="AB30" s="226">
        <f t="shared" ca="1" si="27"/>
        <v>0.37268002695462665</v>
      </c>
      <c r="AC30" s="226">
        <f>Constants!$D$22/1000000000*Constants!$C$21*IF(ISBLANK(Design!$B$32),Design!$B$31,Design!$B$32)*1000000</f>
        <v>4.9999999999999996E-2</v>
      </c>
      <c r="AD30" s="226">
        <f t="shared" ca="1" si="28"/>
        <v>1.0510860419922208</v>
      </c>
      <c r="AE30" s="226">
        <f t="shared" ca="1" si="29"/>
        <v>0.78089933911661125</v>
      </c>
      <c r="AF30" s="226">
        <f ca="1">V30^2*Design!$B$40/1000*(1+(AI30-25)*(Constants!$C$31/100))</f>
        <v>0.24772430104758009</v>
      </c>
      <c r="AG30" s="226">
        <f>0.5*Snubber!$B$16/1000000000000*$W$2^2*Design!$B$32*1000000</f>
        <v>6.7680000000000004E-2</v>
      </c>
      <c r="AH30" s="227">
        <f ca="1">$A30+AE30*Design!$B$19</f>
        <v>129.51126232964685</v>
      </c>
      <c r="AI30" s="227">
        <f ca="1">AD30*Design!$C$12+$A30</f>
        <v>120.73692542773551</v>
      </c>
      <c r="AJ30" s="227">
        <f ca="1">Constants!$D$19+Constants!$D$19*Constants!$C$20/100*(AI30-25)</f>
        <v>130.6300221417381</v>
      </c>
      <c r="AK30" s="226">
        <f ca="1">(1-Constants!$C$17/1000000000*Design!$B$32*1000000) * ($W$2+W30-V30*AJ30/1000) - (W30+V30*Design!$B$40/1000)</f>
        <v>9.9895921063129176</v>
      </c>
      <c r="AL30" s="226">
        <f ca="1">IF(AK30&gt;Design!$C$28,Design!$C$28,AK30)</f>
        <v>3.3239005736137672</v>
      </c>
      <c r="AM30" s="226">
        <f t="shared" ca="1" si="30"/>
        <v>2.1473896821564122</v>
      </c>
      <c r="AN30" s="226">
        <f t="shared" ca="1" si="31"/>
        <v>9.9717017208413026</v>
      </c>
      <c r="AO30" s="269">
        <f t="shared" ca="1" si="32"/>
        <v>82.280935007840242</v>
      </c>
      <c r="AP30" s="238">
        <f t="shared" si="41"/>
        <v>3</v>
      </c>
      <c r="AQ30" s="161">
        <f ca="1">FORECAST(AP30, OFFSET(Design!$C$15:$C$17,MATCH(AP30,Design!$B$15:$B$17,1)-1,0,2), OFFSET(Design!$B$15:$B$17,MATCH(AP30,Design!$B$15:$B$17,1)-1,0,2))+(BB30-25)*Design!$B$18/1000</f>
        <v>0.37595600838984389</v>
      </c>
      <c r="AR30" s="239">
        <f ca="1">IF(100*(Design!$C$28+AQ30+AP30*IF(ISBLANK(Design!$B$40),Constants!$C$6,Design!$B$40)/1000*(1+Constants!$C$31/100*(BC30-25)))/($AQ$2+AQ30-AP30*BD30/1000)&gt;Design!$C$35,Design!$C$35,100*(Design!$C$28+AQ30+AP30*IF(ISBLANK(Design!$B$40),Constants!$C$6,Design!$B$40)/1000*(1+Constants!$C$31/100*(BC30-25)))/($AQ$2+AQ30-AP30*BD30/1000))</f>
        <v>23.712625392318923</v>
      </c>
      <c r="AS30" s="162">
        <f ca="1">($AQ$2-AP30*IF(ISBLANK(Design!$B$40),Constants!$C$6,Design!$B$40)/1000*(1+Constants!$C$31/100*(BC30-25))-Design!$C$28) / (IF(ISBLANK(Design!$B$39),Design!$B$38,Design!$B$39)/1000000) * AR30/100/(IF(ISBLANK(Design!$B$32),Design!$B$31,Design!$B$32)*1000000)</f>
        <v>0.67853022477258063</v>
      </c>
      <c r="AT30" s="240">
        <f>$AQ$2*Constants!$C$18/1000+IF(ISBLANK(Design!$B$32),Design!$B$31,Design!$B$32)*1000000*Constants!$D$22/1000000000*($AQ$2-Constants!$C$21)</f>
        <v>0.158</v>
      </c>
      <c r="AU30" s="240">
        <f>$AQ$2*AP30*($AQ$2/(Constants!$C$23*1000000000)*IF(ISBLANK(Design!$B$32),Design!$B$31,Design!$B$32)*1000000/2+$AQ$2/(Constants!$C$24*1000000000)*IF(ISBLANK(Design!$B$32),Design!$B$31,Design!$B$32)*1000000/2)</f>
        <v>0.92872180451127817</v>
      </c>
      <c r="AV30" s="240">
        <f t="shared" ca="1" si="33"/>
        <v>0.29432399597223058</v>
      </c>
      <c r="AW30" s="240">
        <f>Constants!$D$22/1000000000*Constants!$C$21*IF(ISBLANK(Design!$B$32),Design!$B$31,Design!$B$32)*1000000</f>
        <v>4.9999999999999996E-2</v>
      </c>
      <c r="AX30" s="240">
        <f t="shared" ca="1" si="34"/>
        <v>1.4310458004835087</v>
      </c>
      <c r="AY30" s="240">
        <f t="shared" ca="1" si="35"/>
        <v>0.86042090544133532</v>
      </c>
      <c r="AZ30" s="240">
        <f ca="1">AP30^2*Design!$B$40/1000*(1+(BC30-25)*(Constants!$C$31/100))</f>
        <v>0.25686294117490915</v>
      </c>
      <c r="BA30" s="240">
        <f>0.5*Snubber!$B$16/1000000000000*$AQ$2^2*Design!$B$32*1000000</f>
        <v>0.12032000000000001</v>
      </c>
      <c r="BB30" s="241">
        <f ca="1">$A30+AY30*Design!$B$19</f>
        <v>134.04399161015613</v>
      </c>
      <c r="BC30" s="241">
        <f ca="1">AX30*Design!$C$12+$A30</f>
        <v>133.65555721643929</v>
      </c>
      <c r="BD30" s="241">
        <f ca="1">Constants!$D$19+Constants!$D$19*Constants!$C$20/100*(BC30-25)</f>
        <v>137.32704086100213</v>
      </c>
      <c r="BE30" s="240">
        <f ca="1">(1-Constants!$C$17/1000000000*Design!$B$32*1000000) * ($AQ$2+AQ30-AP30*BD30/1000) - (AQ30+AP30*Design!$B$40/1000)</f>
        <v>13.452702142262103</v>
      </c>
      <c r="BF30" s="240">
        <f ca="1">IF(BE30&gt;Design!$C$28,Design!$C$28,BE30)</f>
        <v>3.3239005736137672</v>
      </c>
      <c r="BG30" s="240">
        <f t="shared" ca="1" si="36"/>
        <v>2.6686496470997532</v>
      </c>
      <c r="BH30" s="240">
        <f t="shared" ca="1" si="37"/>
        <v>9.9717017208413026</v>
      </c>
      <c r="BI30" s="272">
        <f t="shared" ca="1" si="38"/>
        <v>78.887852327680662</v>
      </c>
    </row>
    <row r="31" spans="1:61" ht="12.75" customHeight="1">
      <c r="A31" s="155">
        <f>Design!$D$13</f>
        <v>85</v>
      </c>
      <c r="B31" s="275">
        <f t="shared" si="39"/>
        <v>3.25</v>
      </c>
      <c r="C31" s="157">
        <f ca="1">FORECAST(B31, OFFSET(Design!$C$15:$C$17,MATCH(B31,Design!$B$15:$B$17,1)-1,0,2), OFFSET(Design!$B$15:$B$17,MATCH(B31,Design!$B$15:$B$17,1)-1,0,2))+(N31-25)*Design!$B$18/1000</f>
        <v>0.39319274748785582</v>
      </c>
      <c r="D31" s="216">
        <f ca="1">IF(100*(Design!$C$28+C31+B31*IF(ISBLANK(Design!$B$40),Constants!$C$6,Design!$B$40)/1000*(1+Constants!$C$31/100*(O31-25)))/($C$2+C31-B31*P31/1000)&gt;Design!$C$35,Design!$C$35,100*(Design!$C$28+C31+B31*IF(ISBLANK(Design!$B$40),Constants!$C$6,Design!$B$40)/1000*(1+Constants!$C$31/100*(O31-25)))/($C$2+C31-B31*P31/1000))</f>
        <v>47.751513262400607</v>
      </c>
      <c r="E31" s="158">
        <f ca="1">IF(($C$2-B31*IF(ISBLANK(Design!$B$40),Constants!$C$6,Design!$B$40)/1000*(1+Constants!$C$31/100*(O31-25))-Design!$C$28) / (IF(ISBLANK(Design!$B$39),Design!$B$38,Design!$B$39)/1000000) * D31/100/(IF(ISBLANK(Design!$B$32),Design!$B$31,Design!$B$32)*1000000)&lt;0,0,($C$2-B31*IF(ISBLANK(Design!$B$40),Constants!$C$6,Design!$B$40)/1000*(1+Constants!$C$31/100*(O31-25))-Design!$C$28) / (IF(ISBLANK(Design!$B$39),Design!$B$38,Design!$B$39)/1000000) * D31/100/(IF(ISBLANK(Design!$B$32),Design!$B$31,Design!$B$32)*1000000))</f>
        <v>0.49780746215655231</v>
      </c>
      <c r="F31" s="208">
        <f>$C$2*Constants!$C$18/1000+IF(ISBLANK(Design!$B$32),Design!$B$31,Design!$B$32)*1000000*Constants!$D$22/1000000000*($C$2-Constants!$C$21)</f>
        <v>5.3999999999999999E-2</v>
      </c>
      <c r="G31" s="208">
        <f>$C$2*B31*($C$2/(Constants!$C$23*1000000000)*IF(ISBLANK(Design!$B$32),Design!$B$31,Design!$B$32)*1000000/2+$C$2/(Constants!$C$24*1000000000)*IF(ISBLANK(Design!$B$32),Design!$B$31,Design!$B$32)*1000000/2)</f>
        <v>0.25152882205513782</v>
      </c>
      <c r="H31" s="208">
        <f t="shared" ca="1" si="21"/>
        <v>0.65669196386758966</v>
      </c>
      <c r="I31" s="208">
        <f>Constants!$D$22/1000000000*Constants!$C$21*IF(ISBLANK(Design!$B$32),Design!$B$31,Design!$B$32)*1000000</f>
        <v>4.9999999999999996E-2</v>
      </c>
      <c r="J31" s="208">
        <f t="shared" ca="1" si="22"/>
        <v>1.0122207859227275</v>
      </c>
      <c r="K31" s="208">
        <f t="shared" ca="1" si="23"/>
        <v>0.66767109670428371</v>
      </c>
      <c r="L31" s="208">
        <f ca="1">B31^2*Design!$B$40/1000*(1+(O31-25)*(Constants!$C$31/100))</f>
        <v>0.2896349338739177</v>
      </c>
      <c r="M31" s="208">
        <f>0.5*Snubber!$B$16/1000000000000*$C$2^2*Design!$B$32*1000000</f>
        <v>3.0080000000000003E-2</v>
      </c>
      <c r="N31" s="209">
        <f ca="1">$A31+K31*Design!$B$19</f>
        <v>123.05725251214417</v>
      </c>
      <c r="O31" s="209">
        <f ca="1">J31*Design!$C$12+A31</f>
        <v>119.41550672137274</v>
      </c>
      <c r="P31" s="209">
        <f ca="1">Constants!$D$19+Constants!$D$19*Constants!$C$20/100*(O31-25)</f>
        <v>129.94499868435963</v>
      </c>
      <c r="Q31" s="208">
        <f ca="1">(1-Constants!$C$17/1000000000*Design!$B$32*1000000) * ($C$2+C31-B31*P31/1000) - (C31+B31*Design!$B$40/1000)</f>
        <v>6.4764654590465511</v>
      </c>
      <c r="R31" s="208">
        <f ca="1">IF(Q31&gt;Design!$C$28,Design!$C$28,Q31)</f>
        <v>3.3239005736137672</v>
      </c>
      <c r="S31" s="208">
        <f t="shared" ca="1" si="24"/>
        <v>1.9996068165009289</v>
      </c>
      <c r="T31" s="208">
        <f t="shared" ca="1" si="25"/>
        <v>10.802676864244743</v>
      </c>
      <c r="U31" s="265">
        <f t="shared" ca="1" si="26"/>
        <v>84.380858397097626</v>
      </c>
      <c r="V31" s="224">
        <f t="shared" si="40"/>
        <v>3.25</v>
      </c>
      <c r="W31" s="159">
        <f ca="1">FORECAST(V31, OFFSET(Design!$C$15:$C$17,MATCH(V31,Design!$B$15:$B$17,1)-1,0,2), OFFSET(Design!$B$15:$B$17,MATCH(V31,Design!$B$15:$B$17,1)-1,0,2))+(AH31-25)*Design!$B$18/1000</f>
        <v>0.38285938341590153</v>
      </c>
      <c r="X31" s="225">
        <f ca="1">IF(100*(Design!$C$28+W31+V31*IF(ISBLANK(Design!$B$40),Constants!$C$6,Design!$B$40)/1000*(1+Constants!$C$31/100*(AI31-25)))/($W$2+W31-V31*AJ31/1000)&gt;Design!$C$35,Design!$C$35,100*(Design!$C$28+W31+V31*IF(ISBLANK(Design!$B$40),Constants!$C$6,Design!$B$40)/1000*(1+Constants!$C$31/100*(AI31-25)))/($W$2+W31-V31*AJ31/1000))</f>
        <v>31.771842456263151</v>
      </c>
      <c r="Y31" s="160">
        <f ca="1">($W$2-V31*IF(ISBLANK(Design!$B$40),Constants!$C$6,Design!$B$40)/1000*(1+Constants!$C$31/100*(AI31-25))-Design!$C$28) / (IF(ISBLANK(Design!$B$39),Design!$B$38,Design!$B$39)/1000000) * X31/100/(IF(ISBLANK(Design!$B$32),Design!$B$31,Design!$B$32)*1000000)</f>
        <v>0.61995692701775318</v>
      </c>
      <c r="Z31" s="226">
        <f>$W$2*Constants!$C$18/1000+IF(ISBLANK(Design!$B$32),Design!$B$31,Design!$B$32)*1000000*Constants!$D$22/1000000000*($W$2-Constants!$C$21)</f>
        <v>0.10600000000000001</v>
      </c>
      <c r="AA31" s="226">
        <f>$W$2*V31*($W$2/(Constants!$C$23*1000000000)*IF(ISBLANK(Design!$B$32),Design!$B$31,Design!$B$32)*1000000/2+$W$2/(Constants!$C$24*1000000000)*IF(ISBLANK(Design!$B$32),Design!$B$31,Design!$B$32)*1000000/2)</f>
        <v>0.56593984962406019</v>
      </c>
      <c r="AB31" s="226">
        <f t="shared" ca="1" si="27"/>
        <v>0.44668414024352143</v>
      </c>
      <c r="AC31" s="226">
        <f>Constants!$D$22/1000000000*Constants!$C$21*IF(ISBLANK(Design!$B$32),Design!$B$31,Design!$B$32)*1000000</f>
        <v>4.9999999999999996E-2</v>
      </c>
      <c r="AD31" s="226">
        <f t="shared" ca="1" si="28"/>
        <v>1.1686239898675816</v>
      </c>
      <c r="AE31" s="226">
        <f t="shared" ca="1" si="29"/>
        <v>0.84895818568593773</v>
      </c>
      <c r="AF31" s="226">
        <f ca="1">V31^2*Design!$B$40/1000*(1+(AI31-25)*(Constants!$C$31/100))</f>
        <v>0.29404976230238994</v>
      </c>
      <c r="AG31" s="226">
        <f>0.5*Snubber!$B$16/1000000000000*$W$2^2*Design!$B$32*1000000</f>
        <v>6.7680000000000004E-2</v>
      </c>
      <c r="AH31" s="227">
        <f ca="1">$A31+AE31*Design!$B$19</f>
        <v>133.39061658409844</v>
      </c>
      <c r="AI31" s="227">
        <f ca="1">AD31*Design!$C$12+$A31</f>
        <v>124.73321565549777</v>
      </c>
      <c r="AJ31" s="227">
        <f ca="1">Constants!$D$19+Constants!$D$19*Constants!$C$20/100*(AI31-25)</f>
        <v>132.70169899581006</v>
      </c>
      <c r="AK31" s="226">
        <f ca="1">(1-Constants!$C$17/1000000000*Design!$B$32*1000000) * ($W$2+W31-V31*AJ31/1000) - (W31+V31*Design!$B$40/1000)</f>
        <v>9.9500142262452798</v>
      </c>
      <c r="AL31" s="226">
        <f ca="1">IF(AK31&gt;Design!$C$28,Design!$C$28,AK31)</f>
        <v>3.3239005736137672</v>
      </c>
      <c r="AM31" s="226">
        <f t="shared" ca="1" si="30"/>
        <v>2.3793119378559093</v>
      </c>
      <c r="AN31" s="226">
        <f t="shared" ca="1" si="31"/>
        <v>10.802676864244743</v>
      </c>
      <c r="AO31" s="269">
        <f t="shared" ca="1" si="32"/>
        <v>81.950280996470369</v>
      </c>
      <c r="AP31" s="238">
        <f t="shared" si="41"/>
        <v>3.25</v>
      </c>
      <c r="AQ31" s="161">
        <f ca="1">FORECAST(AP31, OFFSET(Design!$C$15:$C$17,MATCH(AP31,Design!$B$15:$B$17,1)-1,0,2), OFFSET(Design!$B$15:$B$17,MATCH(AP31,Design!$B$15:$B$17,1)-1,0,2))+(BB31-25)*Design!$B$18/1000</f>
        <v>0.37792750002261266</v>
      </c>
      <c r="AR31" s="239">
        <f ca="1">IF(100*(Design!$C$28+AQ31+AP31*IF(ISBLANK(Design!$B$40),Constants!$C$6,Design!$B$40)/1000*(1+Constants!$C$31/100*(BC31-25)))/($AQ$2+AQ31-AP31*BD31/1000)&gt;Design!$C$35,Design!$C$35,100*(Design!$C$28+AQ31+AP31*IF(ISBLANK(Design!$B$40),Constants!$C$6,Design!$B$40)/1000*(1+Constants!$C$31/100*(BC31-25)))/($AQ$2+AQ31-AP31*BD31/1000))</f>
        <v>23.837043984308021</v>
      </c>
      <c r="AS31" s="162">
        <f ca="1">($AQ$2-AP31*IF(ISBLANK(Design!$B$40),Constants!$C$6,Design!$B$40)/1000*(1+Constants!$C$31/100*(BC31-25))-Design!$C$28) / (IF(ISBLANK(Design!$B$39),Design!$B$38,Design!$B$39)/1000000) * AR31/100/(IF(ISBLANK(Design!$B$32),Design!$B$31,Design!$B$32)*1000000)</f>
        <v>0.68163981675813679</v>
      </c>
      <c r="AT31" s="240">
        <f>$AQ$2*Constants!$C$18/1000+IF(ISBLANK(Design!$B$32),Design!$B$31,Design!$B$32)*1000000*Constants!$D$22/1000000000*($AQ$2-Constants!$C$21)</f>
        <v>0.158</v>
      </c>
      <c r="AU31" s="240">
        <f>$AQ$2*AP31*($AQ$2/(Constants!$C$23*1000000000)*IF(ISBLANK(Design!$B$32),Design!$B$31,Design!$B$32)*1000000/2+$AQ$2/(Constants!$C$24*1000000000)*IF(ISBLANK(Design!$B$32),Design!$B$31,Design!$B$32)*1000000/2)</f>
        <v>1.0061152882205513</v>
      </c>
      <c r="AV31" s="240">
        <f t="shared" ca="1" si="33"/>
        <v>0.35309249385520491</v>
      </c>
      <c r="AW31" s="240">
        <f>Constants!$D$22/1000000000*Constants!$C$21*IF(ISBLANK(Design!$B$32),Design!$B$31,Design!$B$32)*1000000</f>
        <v>4.9999999999999996E-2</v>
      </c>
      <c r="AX31" s="240">
        <f t="shared" ca="1" si="34"/>
        <v>1.5672077820757562</v>
      </c>
      <c r="AY31" s="240">
        <f t="shared" ca="1" si="35"/>
        <v>0.93548245574363709</v>
      </c>
      <c r="AZ31" s="240">
        <f ca="1">AP31^2*Design!$B$40/1000*(1+(BC31-25)*(Constants!$C$31/100))</f>
        <v>0.30530067668640332</v>
      </c>
      <c r="BA31" s="240">
        <f>0.5*Snubber!$B$16/1000000000000*$AQ$2^2*Design!$B$32*1000000</f>
        <v>0.12032000000000001</v>
      </c>
      <c r="BB31" s="241">
        <f ca="1">$A31+AY31*Design!$B$19</f>
        <v>138.32249997738731</v>
      </c>
      <c r="BC31" s="241">
        <f ca="1">AX31*Design!$C$12+$A31</f>
        <v>138.2850645905757</v>
      </c>
      <c r="BD31" s="241">
        <f ca="1">Constants!$D$19+Constants!$D$19*Constants!$C$20/100*(BC31-25)</f>
        <v>139.72697748375447</v>
      </c>
      <c r="BE31" s="240">
        <f ca="1">(1-Constants!$C$17/1000000000*Design!$B$32*1000000) * ($AQ$2+AQ31-AP31*BD31/1000) - (AQ31+AP31*Design!$B$40/1000)</f>
        <v>13.410791396161743</v>
      </c>
      <c r="BF31" s="240">
        <f ca="1">IF(BE31&gt;Design!$C$28,Design!$C$28,BE31)</f>
        <v>3.3239005736137672</v>
      </c>
      <c r="BG31" s="240">
        <f t="shared" ca="1" si="36"/>
        <v>2.9283109145057966</v>
      </c>
      <c r="BH31" s="240">
        <f t="shared" ca="1" si="37"/>
        <v>10.802676864244743</v>
      </c>
      <c r="BI31" s="272">
        <f t="shared" ca="1" si="38"/>
        <v>78.67370533212825</v>
      </c>
    </row>
    <row r="32" spans="1:61" ht="12.75" customHeight="1" thickBot="1">
      <c r="A32" s="164">
        <f>Design!$D$13</f>
        <v>85</v>
      </c>
      <c r="B32" s="276">
        <f>B31+0.25</f>
        <v>3.5</v>
      </c>
      <c r="C32" s="166">
        <f ca="1">FORECAST(B32, OFFSET(Design!$C$15:$C$17,MATCH(B32,Design!$B$15:$B$17,1)-1,0,2), OFFSET(Design!$B$15:$B$17,MATCH(B32,Design!$B$15:$B$17,1)-1,0,2))+(N32-25)*Design!$B$18/1000</f>
        <v>0.39646993861759428</v>
      </c>
      <c r="D32" s="217">
        <f ca="1">IF(100*(Design!$C$28+C32+B32*IF(ISBLANK(Design!$B$40),Constants!$C$6,Design!$B$40)/1000*(1+Constants!$C$31/100*(O32-25)))/($C$2+C32-B32*P32/1000)&gt;Design!$C$35,Design!$C$35,100*(Design!$C$28+C32+B32*IF(ISBLANK(Design!$B$40),Constants!$C$6,Design!$B$40)/1000*(1+Constants!$C$31/100*(O32-25)))/($C$2+C32-B32*P32/1000))</f>
        <v>48.126087743413258</v>
      </c>
      <c r="E32" s="167">
        <f ca="1">IF(($C$2-B32*IF(ISBLANK(Design!$B$40),Constants!$C$6,Design!$B$40)/1000*(1+Constants!$C$31/100*(O32-25))-Design!$C$28) / (IF(ISBLANK(Design!$B$39),Design!$B$38,Design!$B$39)/1000000) * D32/100/(IF(ISBLANK(Design!$B$32),Design!$B$31,Design!$B$32)*1000000)&lt;0,0,($C$2-B32*IF(ISBLANK(Design!$B$40),Constants!$C$6,Design!$B$40)/1000*(1+Constants!$C$31/100*(O32-25))-Design!$C$28) / (IF(ISBLANK(Design!$B$39),Design!$B$38,Design!$B$39)/1000000) * D32/100/(IF(ISBLANK(Design!$B$32),Design!$B$31,Design!$B$32)*1000000))</f>
        <v>0.50081407113851384</v>
      </c>
      <c r="F32" s="210">
        <f>$C$2*Constants!$C$18/1000+IF(ISBLANK(Design!$B$32),Design!$B$31,Design!$B$32)*1000000*Constants!$D$22/1000000000*($C$2-Constants!$C$21)</f>
        <v>5.3999999999999999E-2</v>
      </c>
      <c r="G32" s="210">
        <f>$C$2*B32*($C$2/(Constants!$C$23*1000000000)*IF(ISBLANK(Design!$B$32),Design!$B$31,Design!$B$32)*1000000/2+$C$2/(Constants!$C$24*1000000000)*IF(ISBLANK(Design!$B$32),Design!$B$31,Design!$B$32)*1000000/2)</f>
        <v>0.27087719298245616</v>
      </c>
      <c r="H32" s="210">
        <f t="shared" ca="1" si="21"/>
        <v>0.78249983114683019</v>
      </c>
      <c r="I32" s="210">
        <f>Constants!$D$22/1000000000*Constants!$C$21*IF(ISBLANK(Design!$B$32),Design!$B$31,Design!$B$32)*1000000</f>
        <v>4.9999999999999996E-2</v>
      </c>
      <c r="J32" s="210">
        <f t="shared" ca="1" si="22"/>
        <v>1.1573770241292864</v>
      </c>
      <c r="K32" s="210">
        <f t="shared" ca="1" si="23"/>
        <v>0.71982563828781965</v>
      </c>
      <c r="L32" s="210">
        <f ca="1">B32^2*Design!$B$40/1000*(1+(O32-25)*(Constants!$C$31/100))</f>
        <v>0.34065993590121807</v>
      </c>
      <c r="M32" s="210">
        <f>0.5*Snubber!$B$16/1000000000000*$C$2^2*Design!$B$32*1000000</f>
        <v>3.0080000000000003E-2</v>
      </c>
      <c r="N32" s="211">
        <f ca="1">$A32+K32*Design!$B$19</f>
        <v>126.03006138240572</v>
      </c>
      <c r="O32" s="211">
        <f ca="1">J32*Design!$C$12+A32</f>
        <v>124.35081882039574</v>
      </c>
      <c r="P32" s="211">
        <f ca="1">Constants!$D$19+Constants!$D$19*Constants!$C$20/100*(O32-25)</f>
        <v>132.50346447649315</v>
      </c>
      <c r="Q32" s="210">
        <f ca="1">(1-Constants!$C$17/1000000000*Design!$B$32*1000000) * ($C$2+C32-B32*P32/1000) - (C32+B32*Design!$B$40/1000)</f>
        <v>6.4349858586487905</v>
      </c>
      <c r="R32" s="210">
        <f ca="1">IF(Q32&gt;Design!$C$28,Design!$C$28,Q32)</f>
        <v>3.3239005736137672</v>
      </c>
      <c r="S32" s="210">
        <f t="shared" ca="1" si="24"/>
        <v>2.2479425983183239</v>
      </c>
      <c r="T32" s="210">
        <f t="shared" ca="1" si="25"/>
        <v>11.633652007648186</v>
      </c>
      <c r="U32" s="266">
        <f t="shared" ca="1" si="26"/>
        <v>83.806308553686449</v>
      </c>
      <c r="V32" s="228">
        <f t="shared" si="40"/>
        <v>3.5</v>
      </c>
      <c r="W32" s="168">
        <f ca="1">FORECAST(V32, OFFSET(Design!$C$15:$C$17,MATCH(V32,Design!$B$15:$B$17,1)-1,0,2), OFFSET(Design!$B$15:$B$17,MATCH(V32,Design!$B$15:$B$17,1)-1,0,2))+(AH32-25)*Design!$B$18/1000</f>
        <v>0.38521349303265784</v>
      </c>
      <c r="X32" s="229">
        <f ca="1">IF(100*(Design!$C$28+W32+V32*IF(ISBLANK(Design!$B$40),Constants!$C$6,Design!$B$40)/1000*(1+Constants!$C$31/100*(AI32-25)))/($W$2+W32-V32*AJ32/1000)&gt;Design!$C$35,Design!$C$35,100*(Design!$C$28+W32+V32*IF(ISBLANK(Design!$B$40),Constants!$C$6,Design!$B$40)/1000*(1+Constants!$C$31/100*(AI32-25)))/($W$2+W32-V32*AJ32/1000))</f>
        <v>31.962987028585999</v>
      </c>
      <c r="Y32" s="169">
        <f ca="1">($W$2-V32*IF(ISBLANK(Design!$B$40),Constants!$C$6,Design!$B$40)/1000*(1+Constants!$C$31/100*(AI32-25))-Design!$C$28) / (IF(ISBLANK(Design!$B$39),Design!$B$38,Design!$B$39)/1000000) * X32/100/(IF(ISBLANK(Design!$B$32),Design!$B$31,Design!$B$32)*1000000)</f>
        <v>0.62309511144968688</v>
      </c>
      <c r="Z32" s="230">
        <f>$W$2*Constants!$C$18/1000+IF(ISBLANK(Design!$B$32),Design!$B$31,Design!$B$32)*1000000*Constants!$D$22/1000000000*($W$2-Constants!$C$21)</f>
        <v>0.10600000000000001</v>
      </c>
      <c r="AA32" s="230">
        <f>$W$2*V32*($W$2/(Constants!$C$23*1000000000)*IF(ISBLANK(Design!$B$32),Design!$B$31,Design!$B$32)*1000000/2+$W$2/(Constants!$C$24*1000000000)*IF(ISBLANK(Design!$B$32),Design!$B$31,Design!$B$32)*1000000/2)</f>
        <v>0.60947368421052628</v>
      </c>
      <c r="AB32" s="230">
        <f t="shared" ca="1" si="27"/>
        <v>0.52971918214521196</v>
      </c>
      <c r="AC32" s="230">
        <f>Constants!$D$22/1000000000*Constants!$C$21*IF(ISBLANK(Design!$B$32),Design!$B$31,Design!$B$32)*1000000</f>
        <v>4.9999999999999996E-2</v>
      </c>
      <c r="AD32" s="230">
        <f t="shared" ca="1" si="28"/>
        <v>1.2951928663557382</v>
      </c>
      <c r="AE32" s="230">
        <f t="shared" ca="1" si="29"/>
        <v>0.91730713977793243</v>
      </c>
      <c r="AF32" s="230">
        <f ca="1">V32^2*Design!$B$40/1000*(1+(AI32-25)*(Constants!$C$31/100))</f>
        <v>0.34517159934660119</v>
      </c>
      <c r="AG32" s="230">
        <f>0.5*Snubber!$B$16/1000000000000*$W$2^2*Design!$B$32*1000000</f>
        <v>6.7680000000000004E-2</v>
      </c>
      <c r="AH32" s="231">
        <f ca="1">$A32+AE32*Design!$B$19</f>
        <v>137.28650696734215</v>
      </c>
      <c r="AI32" s="231">
        <f ca="1">AD32*Design!$C$12+$A32</f>
        <v>129.0365574560951</v>
      </c>
      <c r="AJ32" s="231">
        <f ca="1">Constants!$D$19+Constants!$D$19*Constants!$C$20/100*(AI32-25)</f>
        <v>134.93255138523972</v>
      </c>
      <c r="AK32" s="230">
        <f ca="1">(1-Constants!$C$17/1000000000*Design!$B$32*1000000) * ($W$2+W32-V32*AJ32/1000) - (W32+V32*Design!$B$40/1000)</f>
        <v>9.9090526269377008</v>
      </c>
      <c r="AL32" s="230">
        <f ca="1">IF(AK32&gt;Design!$C$28,Design!$C$28,AK32)</f>
        <v>3.3239005736137672</v>
      </c>
      <c r="AM32" s="230">
        <f t="shared" ca="1" si="30"/>
        <v>2.6253516054802724</v>
      </c>
      <c r="AN32" s="230">
        <f t="shared" ca="1" si="31"/>
        <v>11.633652007648186</v>
      </c>
      <c r="AO32" s="270">
        <f t="shared" ca="1" si="32"/>
        <v>81.588113190019286</v>
      </c>
      <c r="AP32" s="242">
        <f t="shared" si="41"/>
        <v>3.5</v>
      </c>
      <c r="AQ32" s="170">
        <f ca="1">FORECAST(AP32, OFFSET(Design!$C$15:$C$17,MATCH(AP32,Design!$B$15:$B$17,1)-1,0,2), OFFSET(Design!$B$15:$B$17,MATCH(AP32,Design!$B$15:$B$17,1)-1,0,2))+(BB32-25)*Design!$B$18/1000</f>
        <v>0.37987726002160876</v>
      </c>
      <c r="AR32" s="243">
        <f ca="1">IF(100*(Design!$C$28+AQ32+AP32*IF(ISBLANK(Design!$B$40),Constants!$C$6,Design!$B$40)/1000*(1+Constants!$C$31/100*(BC32-25)))/($AQ$2+AQ32-AP32*BD32/1000)&gt;Design!$C$35,Design!$C$35,100*(Design!$C$28+AQ32+AP32*IF(ISBLANK(Design!$B$40),Constants!$C$6,Design!$B$40)/1000*(1+Constants!$C$31/100*(BC32-25)))/($AQ$2+AQ32-AP32*BD32/1000))</f>
        <v>23.966022775635604</v>
      </c>
      <c r="AS32" s="171">
        <f ca="1">($AQ$2-AP32*IF(ISBLANK(Design!$B$40),Constants!$C$6,Design!$B$40)/1000*(1+Constants!$C$31/100*(BC32-25))-Design!$C$28) / (IF(ISBLANK(Design!$B$39),Design!$B$38,Design!$B$39)/1000000) * AR32/100/(IF(ISBLANK(Design!$B$32),Design!$B$31,Design!$B$32)*1000000)</f>
        <v>0.68486149380850991</v>
      </c>
      <c r="AT32" s="244">
        <f>$AQ$2*Constants!$C$18/1000+IF(ISBLANK(Design!$B$32),Design!$B$31,Design!$B$32)*1000000*Constants!$D$22/1000000000*($AQ$2-Constants!$C$21)</f>
        <v>0.158</v>
      </c>
      <c r="AU32" s="244">
        <f>$AQ$2*AP32*($AQ$2/(Constants!$C$23*1000000000)*IF(ISBLANK(Design!$B$32),Design!$B$31,Design!$B$32)*1000000/2+$AQ$2/(Constants!$C$24*1000000000)*IF(ISBLANK(Design!$B$32),Design!$B$31,Design!$B$32)*1000000/2)</f>
        <v>1.0835087719298246</v>
      </c>
      <c r="AV32" s="244">
        <f t="shared" ca="1" si="33"/>
        <v>0.41896152442020279</v>
      </c>
      <c r="AW32" s="244">
        <f>Constants!$D$22/1000000000*Constants!$C$21*IF(ISBLANK(Design!$B$32),Design!$B$31,Design!$B$32)*1000000</f>
        <v>4.9999999999999996E-2</v>
      </c>
      <c r="AX32" s="244">
        <f t="shared" ca="1" si="34"/>
        <v>1.7104702963500273</v>
      </c>
      <c r="AY32" s="244">
        <f t="shared" ca="1" si="35"/>
        <v>1.0109252627787935</v>
      </c>
      <c r="AZ32" s="244">
        <f ca="1">AP32^2*Design!$B$40/1000*(1+(BC32-25)*(Constants!$C$31/100))</f>
        <v>0.35876649504458125</v>
      </c>
      <c r="BA32" s="244">
        <f>0.5*Snubber!$B$16/1000000000000*$AQ$2^2*Design!$B$32*1000000</f>
        <v>0.12032000000000001</v>
      </c>
      <c r="BB32" s="245">
        <f ca="1">$A32+AY32*Design!$B$19</f>
        <v>142.62273997839122</v>
      </c>
      <c r="BC32" s="245">
        <f ca="1">AX32*Design!$C$12+$A32</f>
        <v>143.15599007590095</v>
      </c>
      <c r="BD32" s="245">
        <f ca="1">Constants!$D$19+Constants!$D$19*Constants!$C$20/100*(BC32-25)</f>
        <v>142.25206525534708</v>
      </c>
      <c r="BE32" s="244">
        <f ca="1">(1-Constants!$C$17/1000000000*Design!$B$32*1000000) * ($AQ$2+AQ32-AP32*BD32/1000) - (AQ32+AP32*Design!$B$40/1000)</f>
        <v>13.367458417494658</v>
      </c>
      <c r="BF32" s="244">
        <f ca="1">IF(BE32&gt;Design!$C$28,Design!$C$28,BE32)</f>
        <v>3.3239005736137672</v>
      </c>
      <c r="BG32" s="244">
        <f t="shared" ca="1" si="36"/>
        <v>3.2004820541734023</v>
      </c>
      <c r="BH32" s="244">
        <f t="shared" ca="1" si="37"/>
        <v>11.633652007648186</v>
      </c>
      <c r="BI32" s="273">
        <f t="shared" ca="1" si="38"/>
        <v>78.424881150222035</v>
      </c>
    </row>
    <row r="33" spans="1:7">
      <c r="A33" s="173"/>
      <c r="G33" s="194"/>
    </row>
    <row r="35" spans="1:7">
      <c r="G35" s="11"/>
    </row>
    <row r="83" spans="2:9" ht="15.75" thickBot="1"/>
    <row r="84" spans="2:9">
      <c r="B84" s="249" t="s">
        <v>230</v>
      </c>
      <c r="C84" s="191"/>
      <c r="D84" s="191"/>
      <c r="E84" s="191"/>
      <c r="F84" s="191"/>
      <c r="H84" s="303">
        <v>0</v>
      </c>
      <c r="I84" s="304">
        <v>155</v>
      </c>
    </row>
    <row r="85" spans="2:9" ht="15.75" thickBot="1">
      <c r="B85" s="247" t="s">
        <v>255</v>
      </c>
      <c r="C85" s="192"/>
      <c r="D85" s="192"/>
      <c r="E85" s="192"/>
      <c r="F85" s="195"/>
      <c r="H85" s="305">
        <v>3.5</v>
      </c>
      <c r="I85" s="306">
        <v>155</v>
      </c>
    </row>
    <row r="86" spans="2:9">
      <c r="B86" s="248" t="s">
        <v>231</v>
      </c>
      <c r="C86" s="193"/>
      <c r="D86" s="172">
        <v>0</v>
      </c>
      <c r="F86" s="11"/>
    </row>
  </sheetData>
  <sheetProtection password="83AF" sheet="1" objects="1" scenarios="1"/>
  <mergeCells count="1">
    <mergeCell ref="A1:BI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5"/>
  <sheetViews>
    <sheetView zoomScaleNormal="100" workbookViewId="0">
      <selection sqref="A1:AU1"/>
    </sheetView>
  </sheetViews>
  <sheetFormatPr defaultRowHeight="15"/>
  <cols>
    <col min="1" max="6" width="6.7109375" style="1" customWidth="1"/>
    <col min="7" max="16" width="6.7109375" style="198" customWidth="1"/>
    <col min="17" max="47" width="6.7109375" customWidth="1"/>
  </cols>
  <sheetData>
    <row r="1" spans="1:47" ht="24" customHeight="1" thickBot="1">
      <c r="A1" s="406" t="s">
        <v>193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</row>
    <row r="2" spans="1:47" s="292" customFormat="1" ht="18" customHeight="1">
      <c r="A2" s="302" t="s">
        <v>303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</row>
    <row r="3" spans="1:47" s="201" customFormat="1" thickBot="1">
      <c r="A3" s="262" t="s">
        <v>229</v>
      </c>
      <c r="B3" s="299" t="s">
        <v>117</v>
      </c>
      <c r="C3" s="255" t="s">
        <v>103</v>
      </c>
      <c r="D3" s="255" t="s">
        <v>254</v>
      </c>
      <c r="E3" s="246" t="s">
        <v>252</v>
      </c>
      <c r="F3" s="246" t="s">
        <v>253</v>
      </c>
      <c r="G3" s="246" t="s">
        <v>104</v>
      </c>
      <c r="H3" s="246" t="s">
        <v>105</v>
      </c>
      <c r="I3" s="246" t="s">
        <v>106</v>
      </c>
      <c r="J3" s="246" t="s">
        <v>217</v>
      </c>
      <c r="K3" s="246" t="s">
        <v>272</v>
      </c>
      <c r="L3" s="246" t="s">
        <v>274</v>
      </c>
      <c r="M3" s="246" t="s">
        <v>305</v>
      </c>
      <c r="N3" s="246" t="s">
        <v>306</v>
      </c>
      <c r="O3" s="246" t="s">
        <v>122</v>
      </c>
      <c r="P3" s="246" t="s">
        <v>266</v>
      </c>
      <c r="Q3" s="263" t="s">
        <v>265</v>
      </c>
      <c r="R3" s="255" t="s">
        <v>103</v>
      </c>
      <c r="S3" s="255" t="s">
        <v>254</v>
      </c>
      <c r="T3" s="246" t="s">
        <v>252</v>
      </c>
      <c r="U3" s="246" t="s">
        <v>253</v>
      </c>
      <c r="V3" s="246" t="s">
        <v>104</v>
      </c>
      <c r="W3" s="246" t="s">
        <v>105</v>
      </c>
      <c r="X3" s="246" t="s">
        <v>106</v>
      </c>
      <c r="Y3" s="246" t="s">
        <v>217</v>
      </c>
      <c r="Z3" s="246" t="s">
        <v>107</v>
      </c>
      <c r="AA3" s="246" t="s">
        <v>274</v>
      </c>
      <c r="AB3" s="246" t="s">
        <v>305</v>
      </c>
      <c r="AC3" s="246" t="s">
        <v>306</v>
      </c>
      <c r="AD3" s="246" t="s">
        <v>122</v>
      </c>
      <c r="AE3" s="246" t="s">
        <v>266</v>
      </c>
      <c r="AF3" s="263" t="s">
        <v>265</v>
      </c>
      <c r="AG3" s="255" t="s">
        <v>103</v>
      </c>
      <c r="AH3" s="255" t="s">
        <v>254</v>
      </c>
      <c r="AI3" s="246" t="s">
        <v>252</v>
      </c>
      <c r="AJ3" s="246" t="s">
        <v>253</v>
      </c>
      <c r="AK3" s="246" t="s">
        <v>104</v>
      </c>
      <c r="AL3" s="246" t="s">
        <v>105</v>
      </c>
      <c r="AM3" s="246" t="s">
        <v>106</v>
      </c>
      <c r="AN3" s="246" t="s">
        <v>217</v>
      </c>
      <c r="AO3" s="246" t="s">
        <v>107</v>
      </c>
      <c r="AP3" s="246" t="s">
        <v>274</v>
      </c>
      <c r="AQ3" s="246" t="s">
        <v>305</v>
      </c>
      <c r="AR3" s="246" t="s">
        <v>306</v>
      </c>
      <c r="AS3" s="246" t="s">
        <v>122</v>
      </c>
      <c r="AT3" s="246" t="s">
        <v>266</v>
      </c>
      <c r="AU3" s="263" t="s">
        <v>265</v>
      </c>
    </row>
    <row r="4" spans="1:47" s="163" customFormat="1" ht="12.75" customHeight="1">
      <c r="A4" s="202">
        <f>Design!$D$13</f>
        <v>85</v>
      </c>
      <c r="B4" s="203">
        <f t="shared" ref="B4:B43" si="0">$B5+$AU$88</f>
        <v>12.000000000000002</v>
      </c>
      <c r="C4" s="204">
        <f>Design!$D$6</f>
        <v>3.5</v>
      </c>
      <c r="D4" s="204">
        <f ca="1">FORECAST(C4, OFFSET(Design!$C$15:$C$17,MATCH(C4,Design!$B$15:$B$17,1)-1,0,2), OFFSET(Design!$B$15:$B$17,MATCH(C4,Design!$B$15:$B$17,1)-1,0,2))+(M4-25)*Design!$B$18/1000</f>
        <v>0.38521349303265784</v>
      </c>
      <c r="E4" s="215">
        <f ca="1">IF(100*(Design!$C$28+D4+C4*IF(ISBLANK(Design!$B$40),Constants!$C$6,Design!$B$40)/1000*(1+Constants!$C$31/100*(N4-25)))/($B4+D4-C4*O4/1000)&gt;Design!$C$35,Design!$C$35,100*(Design!$C$28+D4+C4*IF(ISBLANK(Design!$B$40),Constants!$C$6,Design!$B$40)/1000*(1+Constants!$C$31/100*(N4-25)))/($B4+D4-C4*O4/1000))</f>
        <v>31.962987028585996</v>
      </c>
      <c r="F4" s="205">
        <f ca="1">IF(($B4-C4*IF(ISBLANK(Design!$B$40),Constants!$C$6,Design!$B$40)/1000*(1+Constants!$C$31/100*(N4-25))-Design!$C$28)/(IF(ISBLANK(Design!$B$39),Design!$B$38,Design!$B$39)/1000000)*E4/100/(IF(ISBLANK(Design!$B$32),Design!$B$31,Design!$B$32)*1000000)&lt;0, 0, ($B4-C4*IF(ISBLANK(Design!$B$40),Constants!$C$6,Design!$B$40)/1000*(1+Constants!$C$31/100*(N4-25))-Design!$C$28)/(IF(ISBLANK(Design!$B$39),Design!$B$38,Design!$B$39)/1000000)*E4/100/(IF(ISBLANK(Design!$B$32),Design!$B$31,Design!$B$32)*1000000))</f>
        <v>0.62309511144968699</v>
      </c>
      <c r="G4" s="206">
        <f>B4*Constants!$C$18/1000+IF(ISBLANK(Design!$B$32),Design!$B$31,Design!$B$32)*1000000*Constants!$D$22/1000000000*(B4-Constants!$C$21)</f>
        <v>0.10600000000000002</v>
      </c>
      <c r="H4" s="206">
        <f>B4*C4*(B4/(Constants!$C$23*1000000000)*IF(ISBLANK(Design!$B$32),Design!$B$31,Design!$B$32)*1000000/2+B4/(Constants!$C$24*1000000000)*IF(ISBLANK(Design!$B$32),Design!$B$31,Design!$B$32)*1000000/2)</f>
        <v>0.6094736842105265</v>
      </c>
      <c r="I4" s="206">
        <f t="shared" ref="I4:I44" ca="1" si="1">IF($D$115,1,E4/100*(C4^2+F4^2/12)*O4/1000)</f>
        <v>0.52971918214521196</v>
      </c>
      <c r="J4" s="206">
        <f>Constants!$D$22/1000000000*Constants!$C$21*IF(ISBLANK(Design!$B$32),Design!$B$31,Design!$B$32)*1000000</f>
        <v>4.9999999999999996E-2</v>
      </c>
      <c r="K4" s="206">
        <f ca="1">SUM(G4:J4)</f>
        <v>1.2951928663557386</v>
      </c>
      <c r="L4" s="206">
        <f ca="1">C4*D4*(1-E4/100)</f>
        <v>0.91730713977793243</v>
      </c>
      <c r="M4" s="207">
        <f ca="1">$A4+L4*Design!$B$19</f>
        <v>137.28650696734215</v>
      </c>
      <c r="N4" s="207">
        <f ca="1">K4*Design!$C$12+A4</f>
        <v>129.03655745609512</v>
      </c>
      <c r="O4" s="207">
        <f ca="1">Constants!$D$19+Constants!$D$19*Constants!$C$20/100*(N4-25)</f>
        <v>134.93255138523972</v>
      </c>
      <c r="P4" s="206">
        <f ca="1">(1-Constants!$C$17/1000000000*Design!$B$32*1000000) * ($B4+D4-C4*O4/1000) - (D4+C4*(1+($A4-25)*Constants!$C$31/100)*IF(ISBLANK(Design!$B$40),Constants!$C$6/1000,Design!$B$40/1000))</f>
        <v>9.8925466269377011</v>
      </c>
      <c r="Q4" s="213">
        <f ca="1">IF(P4&gt;Design!$C$28,Design!$C$28,P4)</f>
        <v>3.3239005736137672</v>
      </c>
      <c r="R4" s="218">
        <f>2*Design!$D$6/3</f>
        <v>2.3333333333333335</v>
      </c>
      <c r="S4" s="219">
        <f ca="1">FORECAST(R4, OFFSET(Design!$C$15:$C$17,MATCH(R4,Design!$B$15:$B$17,1)-1,0,2), OFFSET(Design!$B$15:$B$17,MATCH(R4,Design!$B$15:$B$17,1)-1,0,2))+(AB4-25)*Design!$B$18/1000</f>
        <v>0.37406891668229719</v>
      </c>
      <c r="T4" s="220">
        <f ca="1">IF(100*(Design!$C$28+S4+R4*IF(ISBLANK(Design!$B$40),Constants!$C$6,Design!$B$40)/1000*(1+Constants!$C$31/100*(AC4-25)))/($B4+S4-R4*AD4/1000)&gt;Design!$C$35,Design!$C$35,100*(Design!$C$28+S4+R4*IF(ISBLANK(Design!$B$40),Constants!$C$6,Design!$B$40)/1000*(1+Constants!$C$31/100*(AC4-25)))/($B4+S4-R4*AD4/1000))</f>
        <v>31.128414745098812</v>
      </c>
      <c r="U4" s="221">
        <f ca="1">IF(($B4-R4*IF(ISBLANK(Design!$B$40),Constants!$C$6,Design!$B$40)/1000*(1+Constants!$C$31/100*(AC4-25))-Design!$C$28)/(Design!$B$39/1000000)*T4/100/(IF(ISBLANK(IF(ISBLANK(Design!$B$39),Design!$B$38,Design!$B$39)),Design!$B$31,Design!$B$32)*1000000)&lt;0,0,($B4-R4*IF(ISBLANK(Design!$B$40),Constants!$C$6,Design!$B$40)/1000*(1+Constants!$C$31/100*(AC4-25))-Design!$C$28)/(IF(ISBLANK(Design!$B$39),Design!$B$38,Design!$B$39)/1000000)*T4/100/(IF(ISBLANK(Design!$B$32),Design!$B$31,Design!$B$32)*1000000))</f>
        <v>0.60938013690273218</v>
      </c>
      <c r="V4" s="222">
        <f>$B4*Constants!$C$18/1000+IF(ISBLANK(Design!$B$32),Design!$B$31,Design!$B$32)*1000000*Constants!$D$22/1000000000*($B4-Constants!$C$21)</f>
        <v>0.10600000000000002</v>
      </c>
      <c r="W4" s="222">
        <f>$B4*R4*($B4/(Constants!$C$23*1000000000)*IF(ISBLANK(Design!$B$32),Design!$B$31,Design!$B$32)*1000000/2+$B4/(Constants!$C$24*1000000000)*IF(ISBLANK(Design!$B$32),Design!$B$31,Design!$B$32)*1000000/2)</f>
        <v>0.40631578947368441</v>
      </c>
      <c r="X4" s="222">
        <f t="shared" ref="X4:X44" ca="1" si="2">IF($D$115,1,T4/100*(R4^2+U4^2/12)*AD4/1000)</f>
        <v>0.21440380431795797</v>
      </c>
      <c r="Y4" s="222">
        <f>Constants!$D$22/1000000000*Constants!$C$21*IF(ISBLANK(Design!$B$32),Design!$B$31,Design!$B$32)*1000000</f>
        <v>4.9999999999999996E-2</v>
      </c>
      <c r="Z4" s="222">
        <f ca="1">SUM(V4:Y4)</f>
        <v>0.77671959379164246</v>
      </c>
      <c r="AA4" s="222">
        <f ca="1">R4*S4*(1-T4/100)</f>
        <v>0.60113011668484506</v>
      </c>
      <c r="AB4" s="223">
        <f ca="1">$A4+AA4*Design!$B$19</f>
        <v>119.26441665103617</v>
      </c>
      <c r="AC4" s="223">
        <f ca="1">Z4*Design!$C$12+$A4</f>
        <v>111.40846618891584</v>
      </c>
      <c r="AD4" s="223">
        <f ca="1">Constants!$D$19+Constants!$D$19*Constants!$C$20/100*(AC4-25)</f>
        <v>125.79414887233398</v>
      </c>
      <c r="AE4" s="222">
        <f ca="1">(1-Constants!$C$17/1000000000*Design!$B$32*1000000) * ($B4+S4-R4*AD4/1000) - (S4+R4*(1+($A4-25)*Constants!$C$31/100)*IF(ISBLANK(Design!$B$40),Constants!$C$6/1000,Design!$B$40/1000))</f>
        <v>10.078338251953797</v>
      </c>
      <c r="AF4" s="221">
        <f ca="1">IF(AE4&gt;Design!$C$28,Design!$C$28,AE4)</f>
        <v>3.3239005736137672</v>
      </c>
      <c r="AG4" s="233">
        <f>Design!$D$6/3</f>
        <v>1.1666666666666667</v>
      </c>
      <c r="AH4" s="233">
        <f ca="1">FORECAST(AG4, OFFSET(Design!$C$15:$C$17,MATCH(AG4,Design!$B$15:$B$17,1)-1,0,2), OFFSET(Design!$B$15:$B$17,MATCH(AG4,Design!$B$15:$B$17,1)-1,0,2))+(AQ4-25)*Design!$B$18/1000</f>
        <v>0.32030972198885987</v>
      </c>
      <c r="AI4" s="234">
        <f ca="1">IF(100*(Design!$C$28+AH4+AG4*IF(ISBLANK(Design!$B$40),Constants!$C$6,Design!$B$40)/1000*(1+Constants!$C$31/100*(AR4-25)))/($B4+AH4-AG4*AS4/1000)&gt;Design!$C$35,Design!$C$35,100*(Design!$C$28+AH4+AG4*IF(ISBLANK(Design!$B$40),Constants!$C$6,Design!$B$40)/1000*(1+Constants!$C$31/100*(AR4-25)))/($B4+AH4-AG4*AS4/1000))</f>
        <v>30.164100391442069</v>
      </c>
      <c r="AJ4" s="235">
        <f ca="1">IF(($B4-AG4*IF(ISBLANK(Design!$B$40),Constants!$C$6,Design!$B$40)/1000*(1+Constants!$C$31/100*(AR4-25))-Design!$C$28)/(IF(ISBLANK(Design!$B$39),Design!$B$38,Design!$B$39)/1000000)*AI4/100/(IF(ISBLANK(Design!$B$32),Design!$B$31,Design!$B$32)*1000000)&lt;0,0,($B4-AG4*IF(ISBLANK(Design!$B$40),Constants!$C$6,Design!$B$40)/1000*(1+Constants!$C$31/100*(AR4-25))-Design!$C$28)/(IF(ISBLANK(Design!$B$39),Design!$B$38,Design!$B$39)/1000000)*AI4/100/(IF(ISBLANK(Design!$B$32),Design!$B$31,Design!$B$32)*1000000))</f>
        <v>0.59272377009249577</v>
      </c>
      <c r="AK4" s="236">
        <f>$B4*Constants!$C$18/1000+IF(ISBLANK(Design!$B$32),Design!$B$31,Design!$B$32)*1000000*Constants!$D$22/1000000000*($B4-Constants!$C$21)</f>
        <v>0.10600000000000002</v>
      </c>
      <c r="AL4" s="236">
        <f>$B4*AG4*($B4/(Constants!$C$23*1000000000)*IF(ISBLANK(Design!$B$32),Design!$B$31,Design!$B$32)*1000000/2+$B4/(Constants!$C$24*1000000000)*IF(ISBLANK(Design!$B$32),Design!$B$31,Design!$B$32)*1000000/2)</f>
        <v>0.2031578947368422</v>
      </c>
      <c r="AM4" s="236">
        <f t="shared" ref="AM4:AM44" ca="1" si="3">IF($D$115,1,AI4/100*(AG4^2+AJ4^2/12)*AS4/1000)</f>
        <v>5.0041050088209395E-2</v>
      </c>
      <c r="AN4" s="236">
        <f>Constants!$D$22/1000000000*Constants!$C$21*IF(ISBLANK(Design!$B$32),Design!$B$31,Design!$B$32)*1000000</f>
        <v>4.9999999999999996E-2</v>
      </c>
      <c r="AO4" s="236">
        <f ca="1">SUM(AK4:AN4)</f>
        <v>0.40919894482505165</v>
      </c>
      <c r="AP4" s="236">
        <f ca="1">AG4*AH4*(1-AI4/100)</f>
        <v>0.26097303853202308</v>
      </c>
      <c r="AQ4" s="237">
        <f ca="1">$A4+AP4*Design!$B$19</f>
        <v>99.875463196325313</v>
      </c>
      <c r="AR4" s="237">
        <f ca="1">AO4*Design!$C$12+$A4</f>
        <v>98.912764124051762</v>
      </c>
      <c r="AS4" s="237">
        <f ca="1">Constants!$D$19+Constants!$D$19*Constants!$C$20/100*(AR4-25)</f>
        <v>119.31637692190844</v>
      </c>
      <c r="AT4" s="236">
        <f ca="1">(1-Constants!$C$17/1000000000*Design!$B$32*1000000) * ($B4+AH4-AG4*AS4/1000) - (AH4+AG4*(1+($A4-25)*Constants!$C$31/100)*IF(ISBLANK(Design!$B$40),Constants!$C$6/1000,Design!$B$40/1000))</f>
        <v>10.24841828023238</v>
      </c>
      <c r="AU4" s="235">
        <f ca="1">IF(AT4&gt;Design!$C$28,Design!$C$28,AT4)</f>
        <v>3.3239005736137672</v>
      </c>
    </row>
    <row r="5" spans="1:47" s="163" customFormat="1" ht="12.75" customHeight="1">
      <c r="A5" s="155">
        <f>Design!$D$13</f>
        <v>85</v>
      </c>
      <c r="B5" s="156">
        <f t="shared" si="0"/>
        <v>11.795000000000002</v>
      </c>
      <c r="C5" s="157">
        <f>Design!$D$6</f>
        <v>3.5</v>
      </c>
      <c r="D5" s="157">
        <f ca="1">FORECAST(C5, OFFSET(Design!$C$15:$C$17,MATCH(C5,Design!$B$15:$B$17,1)-1,0,2), OFFSET(Design!$B$15:$B$17,MATCH(C5,Design!$B$15:$B$17,1)-1,0,2))+(M5-25)*Design!$B$18/1000</f>
        <v>0.38559145601935491</v>
      </c>
      <c r="E5" s="216">
        <f ca="1">IF(100*(Design!$C$28+D5+C5*IF(ISBLANK(Design!$B$40),Constants!$C$6,Design!$B$40)/1000*(1+Constants!$C$31/100*(N5-25)))/($B5+D5-C5*O5/1000)&gt;Design!$C$35,Design!$C$35,100*(Design!$C$28+D5+C5*IF(ISBLANK(Design!$B$40),Constants!$C$6,Design!$B$40)/1000*(1+Constants!$C$31/100*(N5-25)))/($B5+D5-C5*O5/1000))</f>
        <v>32.52101444451057</v>
      </c>
      <c r="F5" s="158">
        <f ca="1">IF(($B5-C5*IF(ISBLANK(Design!$B$40),Constants!$C$6,Design!$B$40)/1000*(1+Constants!$C$31/100*(N5-25))-Design!$C$28)/(IF(ISBLANK(Design!$B$39),Design!$B$38,Design!$B$39)/1000000)*E5/100/(IF(ISBLANK(Design!$B$32),Design!$B$31,Design!$B$32)*1000000)&lt;0, 0, ($B5-C5*IF(ISBLANK(Design!$B$40),Constants!$C$6,Design!$B$40)/1000*(1+Constants!$C$31/100*(N5-25))-Design!$C$28)/(IF(ISBLANK(Design!$B$39),Design!$B$38,Design!$B$39)/1000000)*E5/100/(IF(ISBLANK(Design!$B$32),Design!$B$31,Design!$B$32)*1000000))</f>
        <v>0.61883208501022635</v>
      </c>
      <c r="G5" s="208">
        <f>B5*Constants!$C$18/1000+IF(ISBLANK(Design!$B$32),Design!$B$31,Design!$B$32)*1000000*Constants!$D$22/1000000000*(B5-Constants!$C$21)</f>
        <v>0.10333500000000004</v>
      </c>
      <c r="H5" s="208">
        <f>B5*C5*(B5/(Constants!$C$23*1000000000)*IF(ISBLANK(Design!$B$32),Design!$B$31,Design!$B$32)*1000000/2+B5/(Constants!$C$24*1000000000)*IF(ISBLANK(Design!$B$32),Design!$B$31,Design!$B$32)*1000000/2)</f>
        <v>0.5888278689692984</v>
      </c>
      <c r="I5" s="208">
        <f t="shared" ca="1" si="1"/>
        <v>0.53788149271627417</v>
      </c>
      <c r="J5" s="208">
        <f>Constants!$D$22/1000000000*Constants!$C$21*IF(ISBLANK(Design!$B$32),Design!$B$31,Design!$B$32)*1000000</f>
        <v>4.9999999999999996E-2</v>
      </c>
      <c r="K5" s="208">
        <f t="shared" ref="K5:K44" ca="1" si="4">SUM(G5:J5)</f>
        <v>1.2800443616855726</v>
      </c>
      <c r="L5" s="208">
        <f t="shared" ref="L5:L44" ca="1" si="5">C5*D5*(1-E5/100)</f>
        <v>0.9106762101867566</v>
      </c>
      <c r="M5" s="209">
        <f ca="1">A5+L5*Design!$B$19</f>
        <v>136.90854398064513</v>
      </c>
      <c r="N5" s="209">
        <f ca="1">K5*Design!$C$12+A5</f>
        <v>128.52150829730948</v>
      </c>
      <c r="O5" s="209">
        <f ca="1">Constants!$D$19+Constants!$D$19*Constants!$C$20/100*(N5-25)</f>
        <v>134.66554990132525</v>
      </c>
      <c r="P5" s="208">
        <f ca="1">(1-Constants!$C$17/1000000000*Design!$B$32*1000000) * ($B5+D5-C5*O5/1000) - (D5+C5*(1+($A5-25)*Constants!$C$31/100)*IF(ISBLANK(Design!$B$40),Constants!$C$6/1000,Design!$B$40/1000))</f>
        <v>9.7149605112679502</v>
      </c>
      <c r="Q5" s="214">
        <f ca="1">IF(P5&gt;Design!$C$28,Design!$C$28,P5)</f>
        <v>3.3239005736137672</v>
      </c>
      <c r="R5" s="224">
        <f>2*Design!$D$6/3</f>
        <v>2.3333333333333335</v>
      </c>
      <c r="S5" s="159">
        <f ca="1">FORECAST(R5, OFFSET(Design!$C$15:$C$17,MATCH(R5,Design!$B$15:$B$17,1)-1,0,2), OFFSET(Design!$B$15:$B$17,MATCH(R5,Design!$B$15:$B$17,1)-1,0,2))+(AB5-25)*Design!$B$18/1000</f>
        <v>0.37431365123768245</v>
      </c>
      <c r="T5" s="225">
        <f ca="1">IF(100*(Design!$C$28+S5+R5*IF(ISBLANK(Design!$B$40),Constants!$C$6,Design!$B$40)/1000*(1+Constants!$C$31/100*(AC5-25)))/($B5+S5-R5*AD5/1000)&gt;Design!$C$35,Design!$C$35,100*(Design!$C$28+S5+R5*IF(ISBLANK(Design!$B$40),Constants!$C$6,Design!$B$40)/1000*(1+Constants!$C$31/100*(AC5-25)))/($B5+S5-R5*AD5/1000))</f>
        <v>31.6650401127031</v>
      </c>
      <c r="U5" s="160">
        <f ca="1">IF(($B5-R5*IF(ISBLANK(Design!$B$40),Constants!$C$6,Design!$B$40)/1000*(1+Constants!$C$31/100*(AC5-25))-Design!$C$28)/(Design!$B$39/1000000)*T5/100/(IF(ISBLANK(IF(ISBLANK(Design!$B$39),Design!$B$38,Design!$B$39)),Design!$B$31,Design!$B$32)*1000000)&lt;0,0,($B5-R5*IF(ISBLANK(Design!$B$40),Constants!$C$6,Design!$B$40)/1000*(1+Constants!$C$31/100*(AC5-25))-Design!$C$28)/(IF(ISBLANK(Design!$B$39),Design!$B$38,Design!$B$39)/1000000)*T5/100/(IF(ISBLANK(Design!$B$32),Design!$B$31,Design!$B$32)*1000000))</f>
        <v>0.60513816428627598</v>
      </c>
      <c r="V5" s="226">
        <f>$B5*Constants!$C$18/1000+IF(ISBLANK(Design!$B$32),Design!$B$31,Design!$B$32)*1000000*Constants!$D$22/1000000000*($B5-Constants!$C$21)</f>
        <v>0.10333500000000004</v>
      </c>
      <c r="W5" s="226">
        <f>$B5*R5*($B5/(Constants!$C$23*1000000000)*IF(ISBLANK(Design!$B$32),Design!$B$31,Design!$B$32)*1000000/2+$B5/(Constants!$C$24*1000000000)*IF(ISBLANK(Design!$B$32),Design!$B$31,Design!$B$32)*1000000/2)</f>
        <v>0.39255191264619899</v>
      </c>
      <c r="X5" s="226">
        <f t="shared" ca="1" si="2"/>
        <v>0.21768095629355191</v>
      </c>
      <c r="Y5" s="226">
        <f>Constants!$D$22/1000000000*Constants!$C$21*IF(ISBLANK(Design!$B$32),Design!$B$31,Design!$B$32)*1000000</f>
        <v>4.9999999999999996E-2</v>
      </c>
      <c r="Z5" s="226">
        <f t="shared" ref="Z5" ca="1" si="6">SUM(V5:Y5)</f>
        <v>0.76356786893975093</v>
      </c>
      <c r="AA5" s="226">
        <f t="shared" ref="AA5:AA44" ca="1" si="7">R5*S5*(1-T5/100)</f>
        <v>0.59683652799387577</v>
      </c>
      <c r="AB5" s="227">
        <f ca="1">$A5+AA5*Design!$B$19</f>
        <v>119.01968209565092</v>
      </c>
      <c r="AC5" s="227">
        <f ca="1">Z5*Design!$C$12+$A5</f>
        <v>110.96130754395153</v>
      </c>
      <c r="AD5" s="227">
        <f ca="1">Constants!$D$19+Constants!$D$19*Constants!$C$20/100*(AC5-25)</f>
        <v>125.56234183078448</v>
      </c>
      <c r="AE5" s="226">
        <f ca="1">(1-Constants!$C$17/1000000000*Design!$B$32*1000000) * ($B5+S5-R5*AD5/1000) - (S5+R5*(1+($A5-25)*Constants!$C$31/100)*IF(ISBLANK(Design!$B$40),Constants!$C$6/1000,Design!$B$40/1000))</f>
        <v>9.9004270047559437</v>
      </c>
      <c r="AF5" s="160">
        <f ca="1">IF(AE5&gt;Design!$C$28,Design!$C$28,AE5)</f>
        <v>3.3239005736137672</v>
      </c>
      <c r="AG5" s="161">
        <f>Design!$D$6/3</f>
        <v>1.1666666666666667</v>
      </c>
      <c r="AH5" s="161">
        <f ca="1">FORECAST(AG5, OFFSET(Design!$C$15:$C$17,MATCH(AG5,Design!$B$15:$B$17,1)-1,0,2), OFFSET(Design!$B$15:$B$17,MATCH(AG5,Design!$B$15:$B$17,1)-1,0,2))+(AQ5-25)*Design!$B$18/1000</f>
        <v>0.32041484049517854</v>
      </c>
      <c r="AI5" s="239">
        <f ca="1">IF(100*(Design!$C$28+AH5+AG5*IF(ISBLANK(Design!$B$40),Constants!$C$6,Design!$B$40)/1000*(1+Constants!$C$31/100*(AR5-25)))/($B5+AH5-AG5*AS5/1000)&gt;Design!$C$35,Design!$C$35,100*(Design!$C$28+AH5+AG5*IF(ISBLANK(Design!$B$40),Constants!$C$6,Design!$B$40)/1000*(1+Constants!$C$31/100*(AR5-25)))/($B5+AH5-AG5*AS5/1000))</f>
        <v>30.680349848025472</v>
      </c>
      <c r="AJ5" s="162">
        <f ca="1">IF(($B5-AG5*IF(ISBLANK(Design!$B$40),Constants!$C$6,Design!$B$40)/1000*(1+Constants!$C$31/100*(AR5-25))-Design!$C$28)/(IF(ISBLANK(Design!$B$39),Design!$B$38,Design!$B$39)/1000000)*AI5/100/(IF(ISBLANK(Design!$B$32),Design!$B$31,Design!$B$32)*1000000)&lt;0,0,($B5-AG5*IF(ISBLANK(Design!$B$40),Constants!$C$6,Design!$B$40)/1000*(1+Constants!$C$31/100*(AR5-25))-Design!$C$28)/(IF(ISBLANK(Design!$B$39),Design!$B$38,Design!$B$39)/1000000)*AI5/100/(IF(ISBLANK(Design!$B$32),Design!$B$31,Design!$B$32)*1000000))</f>
        <v>0.58857571115330642</v>
      </c>
      <c r="AK5" s="240">
        <f>$B5*Constants!$C$18/1000+IF(ISBLANK(Design!$B$32),Design!$B$31,Design!$B$32)*1000000*Constants!$D$22/1000000000*($B5-Constants!$C$21)</f>
        <v>0.10333500000000004</v>
      </c>
      <c r="AL5" s="240">
        <f>$B5*AG5*($B5/(Constants!$C$23*1000000000)*IF(ISBLANK(Design!$B$32),Design!$B$31,Design!$B$32)*1000000/2+$B5/(Constants!$C$24*1000000000)*IF(ISBLANK(Design!$B$32),Design!$B$31,Design!$B$32)*1000000/2)</f>
        <v>0.19627595632309949</v>
      </c>
      <c r="AM5" s="240">
        <f t="shared" ca="1" si="3"/>
        <v>5.0816609887740505E-2</v>
      </c>
      <c r="AN5" s="240">
        <f>Constants!$D$22/1000000000*Constants!$C$21*IF(ISBLANK(Design!$B$32),Design!$B$31,Design!$B$32)*1000000</f>
        <v>4.9999999999999996E-2</v>
      </c>
      <c r="AO5" s="240">
        <f t="shared" ref="AO5" ca="1" si="8">SUM(AK5:AN5)</f>
        <v>0.40042756621084002</v>
      </c>
      <c r="AP5" s="240">
        <f t="shared" ref="AP5:AP44" ca="1" si="9">AG5*AH5*(1-AI5/100)</f>
        <v>0.25912885421064247</v>
      </c>
      <c r="AQ5" s="241">
        <f ca="1">$A5+AP5*Design!$B$19</f>
        <v>99.770344690006624</v>
      </c>
      <c r="AR5" s="241">
        <f ca="1">AO5*Design!$C$12+$A5</f>
        <v>98.614537251168557</v>
      </c>
      <c r="AS5" s="241">
        <f ca="1">Constants!$D$19+Constants!$D$19*Constants!$C$20/100*(AR5-25)</f>
        <v>119.16177611100579</v>
      </c>
      <c r="AT5" s="240">
        <f ca="1">(1-Constants!$C$17/1000000000*Design!$B$32*1000000) * ($B5+AH5-AG5*AS5/1000) - (AH5+AG5*(1+($A5-25)*Constants!$C$31/100)*IF(ISBLANK(Design!$B$40),Constants!$C$6/1000,Design!$B$40/1000))</f>
        <v>10.070211534649625</v>
      </c>
      <c r="AU5" s="162">
        <f ca="1">IF(AT5&gt;Design!$C$28,Design!$C$28,AT5)</f>
        <v>3.3239005736137672</v>
      </c>
    </row>
    <row r="6" spans="1:47" s="163" customFormat="1" ht="12.75" customHeight="1">
      <c r="A6" s="155">
        <f>Design!$D$13</f>
        <v>85</v>
      </c>
      <c r="B6" s="156">
        <f t="shared" si="0"/>
        <v>11.590000000000002</v>
      </c>
      <c r="C6" s="157">
        <f>Design!$D$6</f>
        <v>3.5</v>
      </c>
      <c r="D6" s="157">
        <f ca="1">FORECAST(C6, OFFSET(Design!$C$15:$C$17,MATCH(C6,Design!$B$15:$B$17,1)-1,0,2), OFFSET(Design!$B$15:$B$17,MATCH(C6,Design!$B$15:$B$17,1)-1,0,2))+(M6-25)*Design!$B$18/1000</f>
        <v>0.38598376326262746</v>
      </c>
      <c r="E6" s="216">
        <f ca="1">IF(100*(Design!$C$28+D6+C6*IF(ISBLANK(Design!$B$40),Constants!$C$6,Design!$B$40)/1000*(1+Constants!$C$31/100*(N6-25)))/($B6+D6-C6*O6/1000)&gt;Design!$C$35,Design!$C$35,100*(Design!$C$28+D6+C6*IF(ISBLANK(Design!$B$40),Constants!$C$6,Design!$B$40)/1000*(1+Constants!$C$31/100*(N6-25)))/($B6+D6-C6*O6/1000))</f>
        <v>33.099063965659475</v>
      </c>
      <c r="F6" s="158">
        <f ca="1">IF(($B6-C6*IF(ISBLANK(Design!$B$40),Constants!$C$6,Design!$B$40)/1000*(1+Constants!$C$31/100*(N6-25))-Design!$C$28)/(IF(ISBLANK(Design!$B$39),Design!$B$38,Design!$B$39)/1000000)*E6/100/(IF(ISBLANK(Design!$B$32),Design!$B$31,Design!$B$32)*1000000)&lt;0, 0, ($B6-C6*IF(ISBLANK(Design!$B$40),Constants!$C$6,Design!$B$40)/1000*(1+Constants!$C$31/100*(N6-25))-Design!$C$28)/(IF(ISBLANK(Design!$B$39),Design!$B$38,Design!$B$39)/1000000)*E6/100/(IF(ISBLANK(Design!$B$32),Design!$B$31,Design!$B$32)*1000000))</f>
        <v>0.61442061863359909</v>
      </c>
      <c r="G6" s="208">
        <f>B6*Constants!$C$18/1000+IF(ISBLANK(Design!$B$32),Design!$B$31,Design!$B$32)*1000000*Constants!$D$22/1000000000*(B6-Constants!$C$21)</f>
        <v>0.10067000000000001</v>
      </c>
      <c r="H6" s="208">
        <f>B6*C6*(B6/(Constants!$C$23*1000000000)*IF(ISBLANK(Design!$B$32),Design!$B$31,Design!$B$32)*1000000/2+B6/(Constants!$C$24*1000000000)*IF(ISBLANK(Design!$B$32),Design!$B$31,Design!$B$32)*1000000/2)</f>
        <v>0.56853779166666685</v>
      </c>
      <c r="I6" s="208">
        <f t="shared" ca="1" si="1"/>
        <v>0.54638661412952672</v>
      </c>
      <c r="J6" s="208">
        <f>Constants!$D$22/1000000000*Constants!$C$21*IF(ISBLANK(Design!$B$32),Design!$B$31,Design!$B$32)*1000000</f>
        <v>4.9999999999999996E-2</v>
      </c>
      <c r="K6" s="208">
        <f ca="1">SUM(G6:J6)</f>
        <v>1.2655944057961936</v>
      </c>
      <c r="L6" s="208">
        <f t="shared" ca="1" si="5"/>
        <v>0.90379362697144783</v>
      </c>
      <c r="M6" s="209">
        <f ca="1">A6+L6*Design!$B$19</f>
        <v>136.51623673737254</v>
      </c>
      <c r="N6" s="209">
        <f ca="1">K6*Design!$C$12+A6</f>
        <v>128.0302097970706</v>
      </c>
      <c r="O6" s="209">
        <f ca="1">Constants!$D$19+Constants!$D$19*Constants!$C$20/100*(N6-25)</f>
        <v>134.41086075880139</v>
      </c>
      <c r="P6" s="208">
        <f ca="1">(1-Constants!$C$17/1000000000*Design!$B$32*1000000) * ($B6+D6-C6*O6/1000) - (D6+C6*(1+($A6-25)*Constants!$C$31/100)*IF(ISBLANK(Design!$B$40),Constants!$C$6/1000,Design!$B$40/1000))</f>
        <v>9.5373350397653098</v>
      </c>
      <c r="Q6" s="214">
        <f ca="1">IF(P6&gt;Design!$C$28,Design!$C$28,P6)</f>
        <v>3.3239005736137672</v>
      </c>
      <c r="R6" s="224">
        <f>2*Design!$D$6/3</f>
        <v>2.3333333333333335</v>
      </c>
      <c r="S6" s="159">
        <f ca="1">FORECAST(R6, OFFSET(Design!$C$15:$C$17,MATCH(R6,Design!$B$15:$B$17,1)-1,0,2), OFFSET(Design!$B$15:$B$17,MATCH(R6,Design!$B$15:$B$17,1)-1,0,2))+(AB6-25)*Design!$B$18/1000</f>
        <v>0.37456733845576129</v>
      </c>
      <c r="T6" s="225">
        <f ca="1">IF(100*(Design!$C$28+S6+R6*IF(ISBLANK(Design!$B$40),Constants!$C$6,Design!$B$40)/1000*(1+Constants!$C$31/100*(AC6-25)))/($B6+S6-R6*AD6/1000)&gt;Design!$C$35,Design!$C$35,100*(Design!$C$28+S6+R6*IF(ISBLANK(Design!$B$40),Constants!$C$6,Design!$B$40)/1000*(1+Constants!$C$31/100*(AC6-25)))/($B6+S6-R6*AD6/1000))</f>
        <v>32.220555646869492</v>
      </c>
      <c r="U6" s="160">
        <f ca="1">IF(($B6-R6*IF(ISBLANK(Design!$B$40),Constants!$C$6,Design!$B$40)/1000*(1+Constants!$C$31/100*(AC6-25))-Design!$C$28)/(Design!$B$39/1000000)*T6/100/(IF(ISBLANK(IF(ISBLANK(Design!$B$39),Design!$B$38,Design!$B$39)),Design!$B$31,Design!$B$32)*1000000)&lt;0,0,($B6-R6*IF(ISBLANK(Design!$B$40),Constants!$C$6,Design!$B$40)/1000*(1+Constants!$C$31/100*(AC6-25))-Design!$C$28)/(IF(ISBLANK(Design!$B$39),Design!$B$38,Design!$B$39)/1000000)*T6/100/(IF(ISBLANK(Design!$B$32),Design!$B$31,Design!$B$32)*1000000))</f>
        <v>0.60074839345545805</v>
      </c>
      <c r="V6" s="226">
        <f>$B6*Constants!$C$18/1000+IF(ISBLANK(Design!$B$32),Design!$B$31,Design!$B$32)*1000000*Constants!$D$22/1000000000*($B6-Constants!$C$21)</f>
        <v>0.10067000000000001</v>
      </c>
      <c r="W6" s="226">
        <f>$B6*R6*($B6/(Constants!$C$23*1000000000)*IF(ISBLANK(Design!$B$32),Design!$B$31,Design!$B$32)*1000000/2+$B6/(Constants!$C$24*1000000000)*IF(ISBLANK(Design!$B$32),Design!$B$31,Design!$B$32)*1000000/2)</f>
        <v>0.3790251944444446</v>
      </c>
      <c r="X6" s="226">
        <f t="shared" ca="1" si="2"/>
        <v>0.22108440541246774</v>
      </c>
      <c r="Y6" s="226">
        <f>Constants!$D$22/1000000000*Constants!$C$21*IF(ISBLANK(Design!$B$32),Design!$B$31,Design!$B$32)*1000000</f>
        <v>4.9999999999999996E-2</v>
      </c>
      <c r="Z6" s="226">
        <f ca="1">SUM(V6:Y6)</f>
        <v>0.75077959985691245</v>
      </c>
      <c r="AA6" s="226">
        <f t="shared" ca="1" si="7"/>
        <v>0.59238587504512441</v>
      </c>
      <c r="AB6" s="227">
        <f ca="1">$A6+AA6*Design!$B$19</f>
        <v>118.7659948775721</v>
      </c>
      <c r="AC6" s="227">
        <f ca="1">Z6*Design!$C$12+$A6</f>
        <v>110.52650639513502</v>
      </c>
      <c r="AD6" s="227">
        <f ca="1">Constants!$D$19+Constants!$D$19*Constants!$C$20/100*(AC6-25)</f>
        <v>125.33694091523799</v>
      </c>
      <c r="AE6" s="226">
        <f ca="1">(1-Constants!$C$17/1000000000*Design!$B$32*1000000) * ($B6+S6-R6*AD6/1000) - (S6+R6*(1+($A6-25)*Constants!$C$31/100)*IF(ISBLANK(Design!$B$40),Constants!$C$6/1000,Design!$B$40/1000))</f>
        <v>9.7225015892761526</v>
      </c>
      <c r="AF6" s="160">
        <f ca="1">IF(AE6&gt;Design!$C$28,Design!$C$28,AE6)</f>
        <v>3.3239005736137672</v>
      </c>
      <c r="AG6" s="161">
        <f>Design!$D$6/3</f>
        <v>1.1666666666666667</v>
      </c>
      <c r="AH6" s="161">
        <f ca="1">FORECAST(AG6, OFFSET(Design!$C$15:$C$17,MATCH(AG6,Design!$B$15:$B$17,1)-1,0,2), OFFSET(Design!$B$15:$B$17,MATCH(AG6,Design!$B$15:$B$17,1)-1,0,2))+(AQ6-25)*Design!$B$18/1000</f>
        <v>0.32052369463977315</v>
      </c>
      <c r="AI6" s="239">
        <f ca="1">IF(100*(Design!$C$28+AH6+AG6*IF(ISBLANK(Design!$B$40),Constants!$C$6,Design!$B$40)/1000*(1+Constants!$C$31/100*(AR6-25)))/($B6+AH6-AG6*AS6/1000)&gt;Design!$C$35,Design!$C$35,100*(Design!$C$28+AH6+AG6*IF(ISBLANK(Design!$B$40),Constants!$C$6,Design!$B$40)/1000*(1+Constants!$C$31/100*(AR6-25)))/($B6+AH6-AG6*AS6/1000))</f>
        <v>31.214588586327551</v>
      </c>
      <c r="AJ6" s="162">
        <f ca="1">IF(($B6-AG6*IF(ISBLANK(Design!$B$40),Constants!$C$6,Design!$B$40)/1000*(1+Constants!$C$31/100*(AR6-25))-Design!$C$28)/(IF(ISBLANK(Design!$B$39),Design!$B$38,Design!$B$39)/1000000)*AI6/100/(IF(ISBLANK(Design!$B$32),Design!$B$31,Design!$B$32)*1000000)&lt;0,0,($B6-AG6*IF(ISBLANK(Design!$B$40),Constants!$C$6,Design!$B$40)/1000*(1+Constants!$C$31/100*(AR6-25))-Design!$C$28)/(IF(ISBLANK(Design!$B$39),Design!$B$38,Design!$B$39)/1000000)*AI6/100/(IF(ISBLANK(Design!$B$32),Design!$B$31,Design!$B$32)*1000000))</f>
        <v>0.58428336179073725</v>
      </c>
      <c r="AK6" s="240">
        <f>$B6*Constants!$C$18/1000+IF(ISBLANK(Design!$B$32),Design!$B$31,Design!$B$32)*1000000*Constants!$D$22/1000000000*($B6-Constants!$C$21)</f>
        <v>0.10067000000000001</v>
      </c>
      <c r="AL6" s="240">
        <f>$B6*AG6*($B6/(Constants!$C$23*1000000000)*IF(ISBLANK(Design!$B$32),Design!$B$31,Design!$B$32)*1000000/2+$B6/(Constants!$C$24*1000000000)*IF(ISBLANK(Design!$B$32),Design!$B$31,Design!$B$32)*1000000/2)</f>
        <v>0.1895125972222223</v>
      </c>
      <c r="AM6" s="240">
        <f t="shared" ca="1" si="3"/>
        <v>5.1619939293660461E-2</v>
      </c>
      <c r="AN6" s="240">
        <f>Constants!$D$22/1000000000*Constants!$C$21*IF(ISBLANK(Design!$B$32),Design!$B$31,Design!$B$32)*1000000</f>
        <v>4.9999999999999996E-2</v>
      </c>
      <c r="AO6" s="240">
        <f ca="1">SUM(AK6:AN6)</f>
        <v>0.39180253651588276</v>
      </c>
      <c r="AP6" s="240">
        <f t="shared" ca="1" si="9"/>
        <v>0.2572191323756497</v>
      </c>
      <c r="AQ6" s="241">
        <f ca="1">$A6+AP6*Design!$B$19</f>
        <v>99.661490545412036</v>
      </c>
      <c r="AR6" s="241">
        <f ca="1">AO6*Design!$C$12+$A6</f>
        <v>98.321286241540008</v>
      </c>
      <c r="AS6" s="241">
        <f ca="1">Constants!$D$19+Constants!$D$19*Constants!$C$20/100*(AR6-25)</f>
        <v>119.00975478761436</v>
      </c>
      <c r="AT6" s="240">
        <f ca="1">(1-Constants!$C$17/1000000000*Design!$B$32*1000000) * ($B6+AH6-AG6*AS6/1000) - (AH6+AG6*(1+($A6-25)*Constants!$C$31/100)*IF(ISBLANK(Design!$B$40),Constants!$C$6/1000,Design!$B$40/1000))</f>
        <v>9.8920016852540691</v>
      </c>
      <c r="AU6" s="162">
        <f ca="1">IF(AT6&gt;Design!$C$28,Design!$C$28,AT6)</f>
        <v>3.3239005736137672</v>
      </c>
    </row>
    <row r="7" spans="1:47" s="163" customFormat="1" ht="12.75" customHeight="1">
      <c r="A7" s="155">
        <f>Design!$D$13</f>
        <v>85</v>
      </c>
      <c r="B7" s="156">
        <f t="shared" si="0"/>
        <v>11.385000000000002</v>
      </c>
      <c r="C7" s="157">
        <f>Design!$D$6</f>
        <v>3.5</v>
      </c>
      <c r="D7" s="157">
        <f ca="1">FORECAST(C7, OFFSET(Design!$C$15:$C$17,MATCH(C7,Design!$B$15:$B$17,1)-1,0,2), OFFSET(Design!$B$15:$B$17,MATCH(C7,Design!$B$15:$B$17,1)-1,0,2))+(M7-25)*Design!$B$18/1000</f>
        <v>0.38639124721016305</v>
      </c>
      <c r="E7" s="216">
        <f ca="1">IF(100*(Design!$C$28+D7+C7*IF(ISBLANK(Design!$B$40),Constants!$C$6,Design!$B$40)/1000*(1+Constants!$C$31/100*(N7-25)))/($B7+D7-C7*O7/1000)&gt;Design!$C$35,Design!$C$35,100*(Design!$C$28+D7+C7*IF(ISBLANK(Design!$B$40),Constants!$C$6,Design!$B$40)/1000*(1+Constants!$C$31/100*(N7-25)))/($B7+D7-C7*O7/1000))</f>
        <v>33.698232980127791</v>
      </c>
      <c r="F7" s="158">
        <f ca="1">IF(($B7-C7*IF(ISBLANK(Design!$B$40),Constants!$C$6,Design!$B$40)/1000*(1+Constants!$C$31/100*(N7-25))-Design!$C$28)/(IF(ISBLANK(Design!$B$39),Design!$B$38,Design!$B$39)/1000000)*E7/100/(IF(ISBLANK(Design!$B$32),Design!$B$31,Design!$B$32)*1000000)&lt;0, 0, ($B7-C7*IF(ISBLANK(Design!$B$40),Constants!$C$6,Design!$B$40)/1000*(1+Constants!$C$31/100*(N7-25))-Design!$C$28)/(IF(ISBLANK(Design!$B$39),Design!$B$38,Design!$B$39)/1000000)*E7/100/(IF(ISBLANK(Design!$B$32),Design!$B$31,Design!$B$32)*1000000))</f>
        <v>0.60985256503891527</v>
      </c>
      <c r="G7" s="208">
        <f>B7*Constants!$C$18/1000+IF(ISBLANK(Design!$B$32),Design!$B$31,Design!$B$32)*1000000*Constants!$D$22/1000000000*(B7-Constants!$C$21)</f>
        <v>9.8005000000000009E-2</v>
      </c>
      <c r="H7" s="208">
        <f>B7*C7*(B7/(Constants!$C$23*1000000000)*IF(ISBLANK(Design!$B$32),Design!$B$31,Design!$B$32)*1000000/2+B7/(Constants!$C$24*1000000000)*IF(ISBLANK(Design!$B$32),Design!$B$31,Design!$B$32)*1000000/2)</f>
        <v>0.54860345230263174</v>
      </c>
      <c r="I7" s="208">
        <f t="shared" ca="1" si="1"/>
        <v>0.55525476005677343</v>
      </c>
      <c r="J7" s="208">
        <f>Constants!$D$22/1000000000*Constants!$C$21*IF(ISBLANK(Design!$B$32),Design!$B$31,Design!$B$32)*1000000</f>
        <v>4.9999999999999996E-2</v>
      </c>
      <c r="K7" s="208">
        <f t="shared" ca="1" si="4"/>
        <v>1.2518632123594051</v>
      </c>
      <c r="L7" s="208">
        <f t="shared" ca="1" si="5"/>
        <v>0.89664478578661266</v>
      </c>
      <c r="M7" s="209">
        <f ca="1">A7+L7*Design!$B$19</f>
        <v>136.10875278983693</v>
      </c>
      <c r="N7" s="209">
        <f ca="1">K7*Design!$C$12+A7</f>
        <v>127.56334922021978</v>
      </c>
      <c r="O7" s="209">
        <f ca="1">Constants!$D$19+Constants!$D$19*Constants!$C$20/100*(N7-25)</f>
        <v>134.16884023576193</v>
      </c>
      <c r="P7" s="208">
        <f ca="1">(1-Constants!$C$17/1000000000*Design!$B$32*1000000) * ($B7+D7-C7*O7/1000) - (D7+C7*(1+($A7-25)*Constants!$C$31/100)*IF(ISBLANK(Design!$B$40),Constants!$C$6/1000,Design!$B$40/1000))</f>
        <v>9.3596690193447838</v>
      </c>
      <c r="Q7" s="214">
        <f ca="1">IF(P7&gt;Design!$C$28,Design!$C$28,P7)</f>
        <v>3.3239005736137672</v>
      </c>
      <c r="R7" s="224">
        <f>2*Design!$D$6/3</f>
        <v>2.3333333333333335</v>
      </c>
      <c r="S7" s="159">
        <f ca="1">FORECAST(R7, OFFSET(Design!$C$15:$C$17,MATCH(R7,Design!$B$15:$B$17,1)-1,0,2), OFFSET(Design!$B$15:$B$17,MATCH(R7,Design!$B$15:$B$17,1)-1,0,2))+(AB7-25)*Design!$B$18/1000</f>
        <v>0.37483047821902815</v>
      </c>
      <c r="T7" s="225">
        <f ca="1">IF(100*(Design!$C$28+S7+R7*IF(ISBLANK(Design!$B$40),Constants!$C$6,Design!$B$40)/1000*(1+Constants!$C$31/100*(AC7-25)))/($B7+S7-R7*AD7/1000)&gt;Design!$C$35,Design!$C$35,100*(Design!$C$28+S7+R7*IF(ISBLANK(Design!$B$40),Constants!$C$6,Design!$B$40)/1000*(1+Constants!$C$31/100*(AC7-25)))/($B7+S7-R7*AD7/1000))</f>
        <v>32.795975538100173</v>
      </c>
      <c r="U7" s="160">
        <f ca="1">IF(($B7-R7*IF(ISBLANK(Design!$B$40),Constants!$C$6,Design!$B$40)/1000*(1+Constants!$C$31/100*(AC7-25))-Design!$C$28)/(Design!$B$39/1000000)*T7/100/(IF(ISBLANK(IF(ISBLANK(Design!$B$39),Design!$B$38,Design!$B$39)),Design!$B$31,Design!$B$32)*1000000)&lt;0,0,($B7-R7*IF(ISBLANK(Design!$B$40),Constants!$C$6,Design!$B$40)/1000*(1+Constants!$C$31/100*(AC7-25))-Design!$C$28)/(IF(ISBLANK(Design!$B$39),Design!$B$38,Design!$B$39)/1000000)*T7/100/(IF(ISBLANK(Design!$B$32),Design!$B$31,Design!$B$32)*1000000))</f>
        <v>0.59620285666971484</v>
      </c>
      <c r="V7" s="226">
        <f>$B7*Constants!$C$18/1000+IF(ISBLANK(Design!$B$32),Design!$B$31,Design!$B$32)*1000000*Constants!$D$22/1000000000*($B7-Constants!$C$21)</f>
        <v>9.8005000000000009E-2</v>
      </c>
      <c r="W7" s="226">
        <f>$B7*R7*($B7/(Constants!$C$23*1000000000)*IF(ISBLANK(Design!$B$32),Design!$B$31,Design!$B$32)*1000000/2+$B7/(Constants!$C$24*1000000000)*IF(ISBLANK(Design!$B$32),Design!$B$31,Design!$B$32)*1000000/2)</f>
        <v>0.36573563486842114</v>
      </c>
      <c r="X7" s="226">
        <f t="shared" ca="1" si="2"/>
        <v>0.22462113189136168</v>
      </c>
      <c r="Y7" s="226">
        <f>Constants!$D$22/1000000000*Constants!$C$21*IF(ISBLANK(Design!$B$32),Design!$B$31,Design!$B$32)*1000000</f>
        <v>4.9999999999999996E-2</v>
      </c>
      <c r="Z7" s="226">
        <f t="shared" ref="Z7:Z44" ca="1" si="10">SUM(V7:Y7)</f>
        <v>0.73836176675978282</v>
      </c>
      <c r="AA7" s="226">
        <f t="shared" ca="1" si="7"/>
        <v>0.58776938797026745</v>
      </c>
      <c r="AB7" s="227">
        <f ca="1">$A7+AA7*Design!$B$19</f>
        <v>118.50285511430525</v>
      </c>
      <c r="AC7" s="227">
        <f ca="1">Z7*Design!$C$12+$A7</f>
        <v>110.10430006983262</v>
      </c>
      <c r="AD7" s="227">
        <f ca="1">Constants!$D$19+Constants!$D$19*Constants!$C$20/100*(AC7-25)</f>
        <v>125.11806915620124</v>
      </c>
      <c r="AE7" s="226">
        <f ca="1">(1-Constants!$C$17/1000000000*Design!$B$32*1000000) * ($B7+S7-R7*AD7/1000) - (S7+R7*(1+($A7-25)*Constants!$C$31/100)*IF(ISBLANK(Design!$B$40),Constants!$C$6/1000,Design!$B$40/1000))</f>
        <v>9.5445616907777726</v>
      </c>
      <c r="AF7" s="160">
        <f ca="1">IF(AE7&gt;Design!$C$28,Design!$C$28,AE7)</f>
        <v>3.3239005736137672</v>
      </c>
      <c r="AG7" s="161">
        <f>Design!$D$6/3</f>
        <v>1.1666666666666667</v>
      </c>
      <c r="AH7" s="161">
        <f ca="1">FORECAST(AG7, OFFSET(Design!$C$15:$C$17,MATCH(AG7,Design!$B$15:$B$17,1)-1,0,2), OFFSET(Design!$B$15:$B$17,MATCH(AG7,Design!$B$15:$B$17,1)-1,0,2))+(AQ7-25)*Design!$B$18/1000</f>
        <v>0.32063648703289171</v>
      </c>
      <c r="AI7" s="239">
        <f ca="1">IF(100*(Design!$C$28+AH7+AG7*IF(ISBLANK(Design!$B$40),Constants!$C$6,Design!$B$40)/1000*(1+Constants!$C$31/100*(AR7-25)))/($B7+AH7-AG7*AS7/1000)&gt;Design!$C$35,Design!$C$35,100*(Design!$C$28+AH7+AG7*IF(ISBLANK(Design!$B$40),Constants!$C$6,Design!$B$40)/1000*(1+Constants!$C$31/100*(AR7-25)))/($B7+AH7-AG7*AS7/1000))</f>
        <v>31.76777295419911</v>
      </c>
      <c r="AJ7" s="162">
        <f ca="1">IF(($B7-AG7*IF(ISBLANK(Design!$B$40),Constants!$C$6,Design!$B$40)/1000*(1+Constants!$C$31/100*(AR7-25))-Design!$C$28)/(IF(ISBLANK(Design!$B$39),Design!$B$38,Design!$B$39)/1000000)*AI7/100/(IF(ISBLANK(Design!$B$32),Design!$B$31,Design!$B$32)*1000000)&lt;0,0,($B7-AG7*IF(ISBLANK(Design!$B$40),Constants!$C$6,Design!$B$40)/1000*(1+Constants!$C$31/100*(AR7-25))-Design!$C$28)/(IF(ISBLANK(Design!$B$39),Design!$B$38,Design!$B$39)/1000000)*AI7/100/(IF(ISBLANK(Design!$B$32),Design!$B$31,Design!$B$32)*1000000))</f>
        <v>0.57983903487174837</v>
      </c>
      <c r="AK7" s="240">
        <f>$B7*Constants!$C$18/1000+IF(ISBLANK(Design!$B$32),Design!$B$31,Design!$B$32)*1000000*Constants!$D$22/1000000000*($B7-Constants!$C$21)</f>
        <v>9.8005000000000009E-2</v>
      </c>
      <c r="AL7" s="240">
        <f>$B7*AG7*($B7/(Constants!$C$23*1000000000)*IF(ISBLANK(Design!$B$32),Design!$B$31,Design!$B$32)*1000000/2+$B7/(Constants!$C$24*1000000000)*IF(ISBLANK(Design!$B$32),Design!$B$31,Design!$B$32)*1000000/2)</f>
        <v>0.18286781743421057</v>
      </c>
      <c r="AM7" s="240">
        <f t="shared" ca="1" si="3"/>
        <v>5.2452510188242318E-2</v>
      </c>
      <c r="AN7" s="240">
        <f>Constants!$D$22/1000000000*Constants!$C$21*IF(ISBLANK(Design!$B$32),Design!$B$31,Design!$B$32)*1000000</f>
        <v>4.9999999999999996E-2</v>
      </c>
      <c r="AO7" s="240">
        <f t="shared" ref="AO7:AO44" ca="1" si="11">SUM(AK7:AN7)</f>
        <v>0.38332532762245286</v>
      </c>
      <c r="AP7" s="240">
        <f t="shared" ca="1" si="9"/>
        <v>0.25524031846128975</v>
      </c>
      <c r="AQ7" s="241">
        <f ca="1">$A7+AP7*Design!$B$19</f>
        <v>99.548698152293511</v>
      </c>
      <c r="AR7" s="241">
        <f ca="1">AO7*Design!$C$12+$A7</f>
        <v>98.033061139163394</v>
      </c>
      <c r="AS7" s="241">
        <f ca="1">Constants!$D$19+Constants!$D$19*Constants!$C$20/100*(AR7-25)</f>
        <v>118.86033889454231</v>
      </c>
      <c r="AT7" s="240">
        <f ca="1">(1-Constants!$C$17/1000000000*Design!$B$32*1000000) * ($B7+AH7-AG7*AS7/1000) - (AH7+AG7*(1+($A7-25)*Constants!$C$31/100)*IF(ISBLANK(Design!$B$40),Constants!$C$6/1000,Design!$B$40/1000))</f>
        <v>9.7137886793744315</v>
      </c>
      <c r="AU7" s="162">
        <f ca="1">IF(AT7&gt;Design!$C$28,Design!$C$28,AT7)</f>
        <v>3.3239005736137672</v>
      </c>
    </row>
    <row r="8" spans="1:47" s="163" customFormat="1" ht="12.75" customHeight="1">
      <c r="A8" s="155">
        <f>Design!$D$13</f>
        <v>85</v>
      </c>
      <c r="B8" s="156">
        <f t="shared" si="0"/>
        <v>11.180000000000001</v>
      </c>
      <c r="C8" s="157">
        <f>Design!$D$6</f>
        <v>3.5</v>
      </c>
      <c r="D8" s="157">
        <f ca="1">FORECAST(C8, OFFSET(Design!$C$15:$C$17,MATCH(C8,Design!$B$15:$B$17,1)-1,0,2), OFFSET(Design!$B$15:$B$17,MATCH(C8,Design!$B$15:$B$17,1)-1,0,2))+(M8-25)*Design!$B$18/1000</f>
        <v>0.38681480609601798</v>
      </c>
      <c r="E8" s="216">
        <f ca="1">IF(100*(Design!$C$28+D8+C8*IF(ISBLANK(Design!$B$40),Constants!$C$6,Design!$B$40)/1000*(1+Constants!$C$31/100*(N8-25)))/($B8+D8-C8*O8/1000)&gt;Design!$C$35,Design!$C$35,100*(Design!$C$28+D8+C8*IF(ISBLANK(Design!$B$40),Constants!$C$6,Design!$B$40)/1000*(1+Constants!$C$31/100*(N8-25)))/($B8+D8-C8*O8/1000))</f>
        <v>34.319700714181188</v>
      </c>
      <c r="F8" s="158">
        <f ca="1">IF(($B8-C8*IF(ISBLANK(Design!$B$40),Constants!$C$6,Design!$B$40)/1000*(1+Constants!$C$31/100*(N8-25))-Design!$C$28)/(IF(ISBLANK(Design!$B$39),Design!$B$38,Design!$B$39)/1000000)*E8/100/(IF(ISBLANK(Design!$B$32),Design!$B$31,Design!$B$32)*1000000)&lt;0, 0, ($B8-C8*IF(ISBLANK(Design!$B$40),Constants!$C$6,Design!$B$40)/1000*(1+Constants!$C$31/100*(N8-25))-Design!$C$28)/(IF(ISBLANK(Design!$B$39),Design!$B$38,Design!$B$39)/1000000)*E8/100/(IF(ISBLANK(Design!$B$32),Design!$B$31,Design!$B$32)*1000000))</f>
        <v>0.60511917194996157</v>
      </c>
      <c r="G8" s="208">
        <f>B8*Constants!$C$18/1000+IF(ISBLANK(Design!$B$32),Design!$B$31,Design!$B$32)*1000000*Constants!$D$22/1000000000*(B8-Constants!$C$21)</f>
        <v>9.5340000000000022E-2</v>
      </c>
      <c r="H8" s="208">
        <f>B8*C8*(B8/(Constants!$C$23*1000000000)*IF(ISBLANK(Design!$B$32),Design!$B$31,Design!$B$32)*1000000/2+B8/(Constants!$C$24*1000000000)*IF(ISBLANK(Design!$B$32),Design!$B$31,Design!$B$32)*1000000/2)</f>
        <v>0.52902485087719309</v>
      </c>
      <c r="I8" s="208">
        <f t="shared" ca="1" si="1"/>
        <v>0.56450776956612747</v>
      </c>
      <c r="J8" s="208">
        <f>Constants!$D$22/1000000000*Constants!$C$21*IF(ISBLANK(Design!$B$32),Design!$B$31,Design!$B$32)*1000000</f>
        <v>4.9999999999999996E-2</v>
      </c>
      <c r="K8" s="208">
        <f t="shared" ca="1" si="4"/>
        <v>1.2388726204433207</v>
      </c>
      <c r="L8" s="208">
        <f t="shared" ca="1" si="5"/>
        <v>0.88921392814003508</v>
      </c>
      <c r="M8" s="209">
        <f ca="1">A8+L8*Design!$B$19</f>
        <v>135.685193903982</v>
      </c>
      <c r="N8" s="209">
        <f ca="1">K8*Design!$C$12+A8</f>
        <v>127.1216690950729</v>
      </c>
      <c r="O8" s="209">
        <f ca="1">Constants!$D$19+Constants!$D$19*Constants!$C$20/100*(N8-25)</f>
        <v>133.9398732588858</v>
      </c>
      <c r="P8" s="208">
        <f ca="1">(1-Constants!$C$17/1000000000*Design!$B$32*1000000) * ($B8+D8-C8*O8/1000) - (D8+C8*(1+($A8-25)*Constants!$C$31/100)*IF(ISBLANK(Design!$B$40),Constants!$C$6/1000,Design!$B$40/1000))</f>
        <v>9.1819611611342111</v>
      </c>
      <c r="Q8" s="214">
        <f ca="1">IF(P8&gt;Design!$C$28,Design!$C$28,P8)</f>
        <v>3.3239005736137672</v>
      </c>
      <c r="R8" s="224">
        <f>2*Design!$D$6/3</f>
        <v>2.3333333333333335</v>
      </c>
      <c r="S8" s="159">
        <f ca="1">FORECAST(R8, OFFSET(Design!$C$15:$C$17,MATCH(R8,Design!$B$15:$B$17,1)-1,0,2), OFFSET(Design!$B$15:$B$17,MATCH(R8,Design!$B$15:$B$17,1)-1,0,2))+(AB8-25)*Design!$B$18/1000</f>
        <v>0.37510360831539674</v>
      </c>
      <c r="T8" s="225">
        <f ca="1">IF(100*(Design!$C$28+S8+R8*IF(ISBLANK(Design!$B$40),Constants!$C$6,Design!$B$40)/1000*(1+Constants!$C$31/100*(AC8-25)))/($B8+S8-R8*AD8/1000)&gt;Design!$C$35,Design!$C$35,100*(Design!$C$28+S8+R8*IF(ISBLANK(Design!$B$40),Constants!$C$6,Design!$B$40)/1000*(1+Constants!$C$31/100*(AC8-25)))/($B8+S8-R8*AD8/1000))</f>
        <v>33.392387866404853</v>
      </c>
      <c r="U8" s="160">
        <f ca="1">IF(($B8-R8*IF(ISBLANK(Design!$B$40),Constants!$C$6,Design!$B$40)/1000*(1+Constants!$C$31/100*(AC8-25))-Design!$C$28)/(Design!$B$39/1000000)*T8/100/(IF(ISBLANK(IF(ISBLANK(Design!$B$39),Design!$B$38,Design!$B$39)),Design!$B$31,Design!$B$32)*1000000)&lt;0,0,($B8-R8*IF(ISBLANK(Design!$B$40),Constants!$C$6,Design!$B$40)/1000*(1+Constants!$C$31/100*(AC8-25))-Design!$C$28)/(IF(ISBLANK(Design!$B$39),Design!$B$38,Design!$B$39)/1000000)*T8/100/(IF(ISBLANK(Design!$B$32),Design!$B$31,Design!$B$32)*1000000))</f>
        <v>0.59149300456667686</v>
      </c>
      <c r="V8" s="226">
        <f>$B8*Constants!$C$18/1000+IF(ISBLANK(Design!$B$32),Design!$B$31,Design!$B$32)*1000000*Constants!$D$22/1000000000*($B8-Constants!$C$21)</f>
        <v>9.5340000000000022E-2</v>
      </c>
      <c r="W8" s="226">
        <f>$B8*R8*($B8/(Constants!$C$23*1000000000)*IF(ISBLANK(Design!$B$32),Design!$B$31,Design!$B$32)*1000000/2+$B8/(Constants!$C$24*1000000000)*IF(ISBLANK(Design!$B$32),Design!$B$31,Design!$B$32)*1000000/2)</f>
        <v>0.35268323391812878</v>
      </c>
      <c r="X8" s="226">
        <f t="shared" ca="1" si="2"/>
        <v>0.22829864041582235</v>
      </c>
      <c r="Y8" s="226">
        <f>Constants!$D$22/1000000000*Constants!$C$21*IF(ISBLANK(Design!$B$32),Design!$B$31,Design!$B$32)*1000000</f>
        <v>4.9999999999999996E-2</v>
      </c>
      <c r="Z8" s="226">
        <f t="shared" ca="1" si="10"/>
        <v>0.72632187433395123</v>
      </c>
      <c r="AA8" s="226">
        <f t="shared" ca="1" si="7"/>
        <v>0.58297763189362528</v>
      </c>
      <c r="AB8" s="227">
        <f ca="1">$A8+AA8*Design!$B$19</f>
        <v>118.22972501793664</v>
      </c>
      <c r="AC8" s="227">
        <f ca="1">Z8*Design!$C$12+$A8</f>
        <v>109.69494372735434</v>
      </c>
      <c r="AD8" s="227">
        <f ca="1">Constants!$D$19+Constants!$D$19*Constants!$C$20/100*(AC8-25)</f>
        <v>124.90585882826051</v>
      </c>
      <c r="AE8" s="226">
        <f ca="1">(1-Constants!$C$17/1000000000*Design!$B$32*1000000) * ($B8+S8-R8*AD8/1000) - (S8+R8*(1+($A8-25)*Constants!$C$31/100)*IF(ISBLANK(Design!$B$40),Constants!$C$6/1000,Design!$B$40/1000))</f>
        <v>9.3666069708309632</v>
      </c>
      <c r="AF8" s="160">
        <f ca="1">IF(AE8&gt;Design!$C$28,Design!$C$28,AE8)</f>
        <v>3.3239005736137672</v>
      </c>
      <c r="AG8" s="161">
        <f>Design!$D$6/3</f>
        <v>1.1666666666666667</v>
      </c>
      <c r="AH8" s="161">
        <f ca="1">FORECAST(AG8, OFFSET(Design!$C$15:$C$17,MATCH(AG8,Design!$B$15:$B$17,1)-1,0,2), OFFSET(Design!$B$15:$B$17,MATCH(AG8,Design!$B$15:$B$17,1)-1,0,2))+(AQ8-25)*Design!$B$18/1000</f>
        <v>0.32075343519967914</v>
      </c>
      <c r="AI8" s="239">
        <f ca="1">IF(100*(Design!$C$28+AH8+AG8*IF(ISBLANK(Design!$B$40),Constants!$C$6,Design!$B$40)/1000*(1+Constants!$C$31/100*(AR8-25)))/($B8+AH8-AG8*AS8/1000)&gt;Design!$C$35,Design!$C$35,100*(Design!$C$28+AH8+AG8*IF(ISBLANK(Design!$B$40),Constants!$C$6,Design!$B$40)/1000*(1+Constants!$C$31/100*(AR8-25)))/($B8+AH8-AG8*AS8/1000))</f>
        <v>32.340928277377323</v>
      </c>
      <c r="AJ8" s="162">
        <f ca="1">IF(($B8-AG8*IF(ISBLANK(Design!$B$40),Constants!$C$6,Design!$B$40)/1000*(1+Constants!$C$31/100*(AR8-25))-Design!$C$28)/(IF(ISBLANK(Design!$B$39),Design!$B$38,Design!$B$39)/1000000)*AI8/100/(IF(ISBLANK(Design!$B$32),Design!$B$31,Design!$B$32)*1000000)&lt;0,0,($B8-AG8*IF(ISBLANK(Design!$B$40),Constants!$C$6,Design!$B$40)/1000*(1+Constants!$C$31/100*(AR8-25))-Design!$C$28)/(IF(ISBLANK(Design!$B$39),Design!$B$38,Design!$B$39)/1000000)*AI8/100/(IF(ISBLANK(Design!$B$32),Design!$B$31,Design!$B$32)*1000000))</f>
        <v>0.57523448792498699</v>
      </c>
      <c r="AK8" s="240">
        <f>$B8*Constants!$C$18/1000+IF(ISBLANK(Design!$B$32),Design!$B$31,Design!$B$32)*1000000*Constants!$D$22/1000000000*($B8-Constants!$C$21)</f>
        <v>9.5340000000000022E-2</v>
      </c>
      <c r="AL8" s="240">
        <f>$B8*AG8*($B8/(Constants!$C$23*1000000000)*IF(ISBLANK(Design!$B$32),Design!$B$31,Design!$B$32)*1000000/2+$B8/(Constants!$C$24*1000000000)*IF(ISBLANK(Design!$B$32),Design!$B$31,Design!$B$32)*1000000/2)</f>
        <v>0.17634161695906439</v>
      </c>
      <c r="AM8" s="240">
        <f t="shared" ca="1" si="3"/>
        <v>5.3315900725043476E-2</v>
      </c>
      <c r="AN8" s="240">
        <f>Constants!$D$22/1000000000*Constants!$C$21*IF(ISBLANK(Design!$B$32),Design!$B$31,Design!$B$32)*1000000</f>
        <v>4.9999999999999996E-2</v>
      </c>
      <c r="AO8" s="240">
        <f t="shared" ca="1" si="11"/>
        <v>0.37499751768410788</v>
      </c>
      <c r="AP8" s="240">
        <f t="shared" ca="1" si="9"/>
        <v>0.25318859623694817</v>
      </c>
      <c r="AQ8" s="241">
        <f ca="1">$A8+AP8*Design!$B$19</f>
        <v>99.431749985506045</v>
      </c>
      <c r="AR8" s="241">
        <f ca="1">AO8*Design!$C$12+$A8</f>
        <v>97.749915601259673</v>
      </c>
      <c r="AS8" s="241">
        <f ca="1">Constants!$D$19+Constants!$D$19*Constants!$C$20/100*(AR8-25)</f>
        <v>118.71355624769302</v>
      </c>
      <c r="AT8" s="240">
        <f ca="1">(1-Constants!$C$17/1000000000*Design!$B$32*1000000) * ($B8+AH8-AG8*AS8/1000) - (AH8+AG8*(1+($A8-25)*Constants!$C$31/100)*IF(ISBLANK(Design!$B$40),Constants!$C$6/1000,Design!$B$40/1000))</f>
        <v>9.5355724604993011</v>
      </c>
      <c r="AU8" s="162">
        <f ca="1">IF(AT8&gt;Design!$C$28,Design!$C$28,AT8)</f>
        <v>3.3239005736137672</v>
      </c>
    </row>
    <row r="9" spans="1:47" s="163" customFormat="1" ht="12.75" customHeight="1">
      <c r="A9" s="155">
        <f>Design!$D$13</f>
        <v>85</v>
      </c>
      <c r="B9" s="156">
        <f t="shared" si="0"/>
        <v>10.975000000000001</v>
      </c>
      <c r="C9" s="157">
        <f>Design!$D$6</f>
        <v>3.5</v>
      </c>
      <c r="D9" s="157">
        <f ca="1">FORECAST(C9, OFFSET(Design!$C$15:$C$17,MATCH(C9,Design!$B$15:$B$17,1)-1,0,2), OFFSET(Design!$B$15:$B$17,MATCH(C9,Design!$B$15:$B$17,1)-1,0,2))+(M9-25)*Design!$B$18/1000</f>
        <v>0.3872554105813929</v>
      </c>
      <c r="E9" s="216">
        <f ca="1">IF(100*(Design!$C$28+D9+C9*IF(ISBLANK(Design!$B$40),Constants!$C$6,Design!$B$40)/1000*(1+Constants!$C$31/100*(N9-25)))/($B9+D9-C9*O9/1000)&gt;Design!$C$35,Design!$C$35,100*(Design!$C$28+D9+C9*IF(ISBLANK(Design!$B$40),Constants!$C$6,Design!$B$40)/1000*(1+Constants!$C$31/100*(N9-25)))/($B9+D9-C9*O9/1000))</f>
        <v>34.964736022339018</v>
      </c>
      <c r="F9" s="158">
        <f ca="1">IF(($B9-C9*IF(ISBLANK(Design!$B$40),Constants!$C$6,Design!$B$40)/1000*(1+Constants!$C$31/100*(N9-25))-Design!$C$28)/(IF(ISBLANK(Design!$B$39),Design!$B$38,Design!$B$39)/1000000)*E9/100/(IF(ISBLANK(Design!$B$32),Design!$B$31,Design!$B$32)*1000000)&lt;0, 0, ($B9-C9*IF(ISBLANK(Design!$B$40),Constants!$C$6,Design!$B$40)/1000*(1+Constants!$C$31/100*(N9-25))-Design!$C$28)/(IF(ISBLANK(Design!$B$39),Design!$B$38,Design!$B$39)/1000000)*E9/100/(IF(ISBLANK(Design!$B$32),Design!$B$31,Design!$B$32)*1000000))</f>
        <v>0.60021102478313582</v>
      </c>
      <c r="G9" s="208">
        <f>B9*Constants!$C$18/1000+IF(ISBLANK(Design!$B$32),Design!$B$31,Design!$B$32)*1000000*Constants!$D$22/1000000000*(B9-Constants!$C$21)</f>
        <v>9.2675000000000021E-2</v>
      </c>
      <c r="H9" s="208">
        <f>B9*C9*(B9/(Constants!$C$23*1000000000)*IF(ISBLANK(Design!$B$32),Design!$B$31,Design!$B$32)*1000000/2+B9/(Constants!$C$24*1000000000)*IF(ISBLANK(Design!$B$32),Design!$B$31,Design!$B$32)*1000000/2)</f>
        <v>0.5098019873903511</v>
      </c>
      <c r="I9" s="208">
        <f t="shared" ca="1" si="1"/>
        <v>0.57416927415005148</v>
      </c>
      <c r="J9" s="208">
        <f>Constants!$D$22/1000000000*Constants!$C$21*IF(ISBLANK(Design!$B$32),Design!$B$31,Design!$B$32)*1000000</f>
        <v>4.9999999999999996E-2</v>
      </c>
      <c r="K9" s="208">
        <f t="shared" ca="1" si="4"/>
        <v>1.2266462615404026</v>
      </c>
      <c r="L9" s="208">
        <f t="shared" ca="1" si="5"/>
        <v>0.88148402488784316</v>
      </c>
      <c r="M9" s="209">
        <f ca="1">A9+L9*Design!$B$19</f>
        <v>135.24458941860706</v>
      </c>
      <c r="N9" s="209">
        <f ca="1">K9*Design!$C$12+A9</f>
        <v>126.70597289237369</v>
      </c>
      <c r="O9" s="209">
        <f ca="1">Constants!$D$19+Constants!$D$19*Constants!$C$20/100*(N9-25)</f>
        <v>133.72437634740652</v>
      </c>
      <c r="P9" s="208">
        <f ca="1">(1-Constants!$C$17/1000000000*Design!$B$32*1000000) * ($B9+D9-C9*O9/1000) - (D9+C9*(1+($A9-25)*Constants!$C$31/100)*IF(ISBLANK(Design!$B$40),Constants!$C$6/1000,Design!$B$40/1000))</f>
        <v>9.0042100706465664</v>
      </c>
      <c r="Q9" s="214">
        <f ca="1">IF(P9&gt;Design!$C$28,Design!$C$28,P9)</f>
        <v>3.3239005736137672</v>
      </c>
      <c r="R9" s="224">
        <f>2*Design!$D$6/3</f>
        <v>2.3333333333333335</v>
      </c>
      <c r="S9" s="159">
        <f ca="1">FORECAST(R9, OFFSET(Design!$C$15:$C$17,MATCH(R9,Design!$B$15:$B$17,1)-1,0,2), OFFSET(Design!$B$15:$B$17,MATCH(R9,Design!$B$15:$B$17,1)-1,0,2))+(AB9-25)*Design!$B$18/1000</f>
        <v>0.37538730809891496</v>
      </c>
      <c r="T9" s="225">
        <f ca="1">IF(100*(Design!$C$28+S9+R9*IF(ISBLANK(Design!$B$40),Constants!$C$6,Design!$B$40)/1000*(1+Constants!$C$31/100*(AC9-25)))/($B9+S9-R9*AD9/1000)&gt;Design!$C$35,Design!$C$35,100*(Design!$C$28+S9+R9*IF(ISBLANK(Design!$B$40),Constants!$C$6,Design!$B$40)/1000*(1+Constants!$C$31/100*(AC9-25)))/($B9+S9-R9*AD9/1000))</f>
        <v>34.010961451716973</v>
      </c>
      <c r="U9" s="160">
        <f ca="1">IF(($B9-R9*IF(ISBLANK(Design!$B$40),Constants!$C$6,Design!$B$40)/1000*(1+Constants!$C$31/100*(AC9-25))-Design!$C$28)/(Design!$B$39/1000000)*T9/100/(IF(ISBLANK(IF(ISBLANK(Design!$B$39),Design!$B$38,Design!$B$39)),Design!$B$31,Design!$B$32)*1000000)&lt;0,0,($B9-R9*IF(ISBLANK(Design!$B$40),Constants!$C$6,Design!$B$40)/1000*(1+Constants!$C$31/100*(AC9-25))-Design!$C$28)/(IF(ISBLANK(Design!$B$39),Design!$B$38,Design!$B$39)/1000000)*T9/100/(IF(ISBLANK(Design!$B$32),Design!$B$31,Design!$B$32)*1000000))</f>
        <v>0.58660965212677929</v>
      </c>
      <c r="V9" s="226">
        <f>$B9*Constants!$C$18/1000+IF(ISBLANK(Design!$B$32),Design!$B$31,Design!$B$32)*1000000*Constants!$D$22/1000000000*($B9-Constants!$C$21)</f>
        <v>9.2675000000000021E-2</v>
      </c>
      <c r="W9" s="226">
        <f>$B9*R9*($B9/(Constants!$C$23*1000000000)*IF(ISBLANK(Design!$B$32),Design!$B$31,Design!$B$32)*1000000/2+$B9/(Constants!$C$24*1000000000)*IF(ISBLANK(Design!$B$32),Design!$B$31,Design!$B$32)*1000000/2)</f>
        <v>0.3398679915935674</v>
      </c>
      <c r="X9" s="226">
        <f t="shared" ca="1" si="2"/>
        <v>0.23212501036549674</v>
      </c>
      <c r="Y9" s="226">
        <f>Constants!$D$22/1000000000*Constants!$C$21*IF(ISBLANK(Design!$B$32),Design!$B$31,Design!$B$32)*1000000</f>
        <v>4.9999999999999996E-2</v>
      </c>
      <c r="Z9" s="226">
        <f t="shared" ca="1" si="10"/>
        <v>0.71466800195906421</v>
      </c>
      <c r="AA9" s="226">
        <f t="shared" ca="1" si="7"/>
        <v>0.5780004427090949</v>
      </c>
      <c r="AB9" s="227">
        <f ca="1">$A9+AA9*Design!$B$19</f>
        <v>117.94602523441841</v>
      </c>
      <c r="AC9" s="227">
        <f ca="1">Z9*Design!$C$12+$A9</f>
        <v>109.29871206660818</v>
      </c>
      <c r="AD9" s="227">
        <f ca="1">Constants!$D$19+Constants!$D$19*Constants!$C$20/100*(AC9-25)</f>
        <v>124.70045233532969</v>
      </c>
      <c r="AE9" s="226">
        <f ca="1">(1-Constants!$C$17/1000000000*Design!$B$32*1000000) * ($B9+S9-R9*AD9/1000) - (S9+R9*(1+($A9-25)*Constants!$C$31/100)*IF(ISBLANK(Design!$B$40),Constants!$C$6/1000,Design!$B$40/1000))</f>
        <v>9.1886370650397549</v>
      </c>
      <c r="AF9" s="160">
        <f ca="1">IF(AE9&gt;Design!$C$28,Design!$C$28,AE9)</f>
        <v>3.3239005736137672</v>
      </c>
      <c r="AG9" s="161">
        <f>Design!$D$6/3</f>
        <v>1.1666666666666667</v>
      </c>
      <c r="AH9" s="161">
        <f ca="1">FORECAST(AG9, OFFSET(Design!$C$15:$C$17,MATCH(AG9,Design!$B$15:$B$17,1)-1,0,2), OFFSET(Design!$B$15:$B$17,MATCH(AG9,Design!$B$15:$B$17,1)-1,0,2))+(AQ9-25)*Design!$B$18/1000</f>
        <v>0.32087477297766454</v>
      </c>
      <c r="AI9" s="239">
        <f ca="1">IF(100*(Design!$C$28+AH9+AG9*IF(ISBLANK(Design!$B$40),Constants!$C$6,Design!$B$40)/1000*(1+Constants!$C$31/100*(AR9-25)))/($B9+AH9-AG9*AS9/1000)&gt;Design!$C$35,Design!$C$35,100*(Design!$C$28+AH9+AG9*IF(ISBLANK(Design!$B$40),Constants!$C$6,Design!$B$40)/1000*(1+Constants!$C$31/100*(AR9-25)))/($B9+AH9-AG9*AS9/1000))</f>
        <v>32.93515518930348</v>
      </c>
      <c r="AJ9" s="162">
        <f ca="1">IF(($B9-AG9*IF(ISBLANK(Design!$B$40),Constants!$C$6,Design!$B$40)/1000*(1+Constants!$C$31/100*(AR9-25))-Design!$C$28)/(IF(ISBLANK(Design!$B$39),Design!$B$38,Design!$B$39)/1000000)*AI9/100/(IF(ISBLANK(Design!$B$32),Design!$B$31,Design!$B$32)*1000000)&lt;0,0,($B9-AG9*IF(ISBLANK(Design!$B$40),Constants!$C$6,Design!$B$40)/1000*(1+Constants!$C$31/100*(AR9-25))-Design!$C$28)/(IF(ISBLANK(Design!$B$39),Design!$B$38,Design!$B$39)/1000000)*AI9/100/(IF(ISBLANK(Design!$B$32),Design!$B$31,Design!$B$32)*1000000))</f>
        <v>0.57046087209408269</v>
      </c>
      <c r="AK9" s="240">
        <f>$B9*Constants!$C$18/1000+IF(ISBLANK(Design!$B$32),Design!$B$31,Design!$B$32)*1000000*Constants!$D$22/1000000000*($B9-Constants!$C$21)</f>
        <v>9.2675000000000021E-2</v>
      </c>
      <c r="AL9" s="240">
        <f>$B9*AG9*($B9/(Constants!$C$23*1000000000)*IF(ISBLANK(Design!$B$32),Design!$B$31,Design!$B$32)*1000000/2+$B9/(Constants!$C$24*1000000000)*IF(ISBLANK(Design!$B$32),Design!$B$31,Design!$B$32)*1000000/2)</f>
        <v>0.1699339957967837</v>
      </c>
      <c r="AM9" s="240">
        <f t="shared" ca="1" si="3"/>
        <v>5.4211805132842253E-2</v>
      </c>
      <c r="AN9" s="240">
        <f>Constants!$D$22/1000000000*Constants!$C$21*IF(ISBLANK(Design!$B$32),Design!$B$31,Design!$B$32)*1000000</f>
        <v>4.9999999999999996E-2</v>
      </c>
      <c r="AO9" s="240">
        <f t="shared" ca="1" si="11"/>
        <v>0.36682080092962593</v>
      </c>
      <c r="AP9" s="240">
        <f t="shared" ca="1" si="9"/>
        <v>0.25105986328983643</v>
      </c>
      <c r="AQ9" s="241">
        <f ca="1">$A9+AP9*Design!$B$19</f>
        <v>99.31041220752067</v>
      </c>
      <c r="AR9" s="241">
        <f ca="1">AO9*Design!$C$12+$A9</f>
        <v>97.471907231607275</v>
      </c>
      <c r="AS9" s="241">
        <f ca="1">Constants!$D$19+Constants!$D$19*Constants!$C$20/100*(AR9-25)</f>
        <v>118.56943670886523</v>
      </c>
      <c r="AT9" s="240">
        <f ca="1">(1-Constants!$C$17/1000000000*Design!$B$32*1000000) * ($B9+AH9-AG9*AS9/1000) - (AH9+AG9*(1+($A9-25)*Constants!$C$31/100)*IF(ISBLANK(Design!$B$40),Constants!$C$6/1000,Design!$B$40/1000))</f>
        <v>9.3573529679200735</v>
      </c>
      <c r="AU9" s="162">
        <f ca="1">IF(AT9&gt;Design!$C$28,Design!$C$28,AT9)</f>
        <v>3.3239005736137672</v>
      </c>
    </row>
    <row r="10" spans="1:47" s="163" customFormat="1" ht="12.75" customHeight="1">
      <c r="A10" s="155">
        <f>Design!$D$13</f>
        <v>85</v>
      </c>
      <c r="B10" s="156">
        <f t="shared" si="0"/>
        <v>10.770000000000001</v>
      </c>
      <c r="C10" s="157">
        <f>Design!$D$6</f>
        <v>3.5</v>
      </c>
      <c r="D10" s="157">
        <f ca="1">FORECAST(C10, OFFSET(Design!$C$15:$C$17,MATCH(C10,Design!$B$15:$B$17,1)-1,0,2), OFFSET(Design!$B$15:$B$17,MATCH(C10,Design!$B$15:$B$17,1)-1,0,2))+(M10-25)*Design!$B$18/1000</f>
        <v>0.38771411121788485</v>
      </c>
      <c r="E10" s="216">
        <f ca="1">IF(100*(Design!$C$28+D10+C10*IF(ISBLANK(Design!$B$40),Constants!$C$6,Design!$B$40)/1000*(1+Constants!$C$31/100*(N10-25)))/($B10+D10-C10*O10/1000)&gt;Design!$C$35,Design!$C$35,100*(Design!$C$28+D10+C10*IF(ISBLANK(Design!$B$40),Constants!$C$6,Design!$B$40)/1000*(1+Constants!$C$31/100*(N10-25)))/($B10+D10-C10*O10/1000))</f>
        <v>35.634706086721408</v>
      </c>
      <c r="F10" s="158">
        <f ca="1">IF(($B10-C10*IF(ISBLANK(Design!$B$40),Constants!$C$6,Design!$B$40)/1000*(1+Constants!$C$31/100*(N10-25))-Design!$C$28)/(IF(ISBLANK(Design!$B$39),Design!$B$38,Design!$B$39)/1000000)*E10/100/(IF(ISBLANK(Design!$B$32),Design!$B$31,Design!$B$32)*1000000)&lt;0, 0, ($B10-C10*IF(ISBLANK(Design!$B$40),Constants!$C$6,Design!$B$40)/1000*(1+Constants!$C$31/100*(N10-25))-Design!$C$28)/(IF(ISBLANK(Design!$B$39),Design!$B$38,Design!$B$39)/1000000)*E10/100/(IF(ISBLANK(Design!$B$32),Design!$B$31,Design!$B$32)*1000000))</f>
        <v>0.59511798268218985</v>
      </c>
      <c r="G10" s="208">
        <f>B10*Constants!$C$18/1000+IF(ISBLANK(Design!$B$32),Design!$B$31,Design!$B$32)*1000000*Constants!$D$22/1000000000*(B10-Constants!$C$21)</f>
        <v>9.0010000000000021E-2</v>
      </c>
      <c r="H10" s="208">
        <f>B10*C10*(B10/(Constants!$C$23*1000000000)*IF(ISBLANK(Design!$B$32),Design!$B$31,Design!$B$32)*1000000/2+B10/(Constants!$C$24*1000000000)*IF(ISBLANK(Design!$B$32),Design!$B$31,Design!$B$32)*1000000/2)</f>
        <v>0.49093486184210539</v>
      </c>
      <c r="I10" s="208">
        <f t="shared" ca="1" si="1"/>
        <v>0.58426488582415326</v>
      </c>
      <c r="J10" s="208">
        <f>Constants!$D$22/1000000000*Constants!$C$21*IF(ISBLANK(Design!$B$32),Design!$B$31,Design!$B$32)*1000000</f>
        <v>4.9999999999999996E-2</v>
      </c>
      <c r="K10" s="208">
        <f t="shared" ca="1" si="4"/>
        <v>1.2152097476662587</v>
      </c>
      <c r="L10" s="208">
        <f t="shared" ca="1" si="5"/>
        <v>0.87343664530026588</v>
      </c>
      <c r="M10" s="209">
        <f ca="1">A10+L10*Design!$B$19</f>
        <v>134.78588878211517</v>
      </c>
      <c r="N10" s="209">
        <f ca="1">K10*Design!$C$12+A10</f>
        <v>126.3171314206528</v>
      </c>
      <c r="O10" s="209">
        <f ca="1">Constants!$D$19+Constants!$D$19*Constants!$C$20/100*(N10-25)</f>
        <v>133.52280092846641</v>
      </c>
      <c r="P10" s="208">
        <f ca="1">(1-Constants!$C$17/1000000000*Design!$B$32*1000000) * ($B10+D10-C10*O10/1000) - (D10+C10*(1+($A10-25)*Constants!$C$31/100)*IF(ISBLANK(Design!$B$40),Constants!$C$6/1000,Design!$B$40/1000))</f>
        <v>8.8264142367144967</v>
      </c>
      <c r="Q10" s="214">
        <f ca="1">IF(P10&gt;Design!$C$28,Design!$C$28,P10)</f>
        <v>3.3239005736137672</v>
      </c>
      <c r="R10" s="224">
        <f>2*Design!$D$6/3</f>
        <v>2.3333333333333335</v>
      </c>
      <c r="S10" s="159">
        <f ca="1">FORECAST(R10, OFFSET(Design!$C$15:$C$17,MATCH(R10,Design!$B$15:$B$17,1)-1,0,2), OFFSET(Design!$B$15:$B$17,MATCH(R10,Design!$B$15:$B$17,1)-1,0,2))+(AB10-25)*Design!$B$18/1000</f>
        <v>0.37568220258287477</v>
      </c>
      <c r="T10" s="225">
        <f ca="1">IF(100*(Design!$C$28+S10+R10*IF(ISBLANK(Design!$B$40),Constants!$C$6,Design!$B$40)/1000*(1+Constants!$C$31/100*(AC10-25)))/($B10+S10-R10*AD10/1000)&gt;Design!$C$35,Design!$C$35,100*(Design!$C$28+S10+R10*IF(ISBLANK(Design!$B$40),Constants!$C$6,Design!$B$40)/1000*(1+Constants!$C$31/100*(AC10-25)))/($B10+S10-R10*AD10/1000))</f>
        <v>34.652953480408158</v>
      </c>
      <c r="U10" s="160">
        <f ca="1">IF(($B10-R10*IF(ISBLANK(Design!$B$40),Constants!$C$6,Design!$B$40)/1000*(1+Constants!$C$31/100*(AC10-25))-Design!$C$28)/(Design!$B$39/1000000)*T10/100/(IF(ISBLANK(IF(ISBLANK(Design!$B$39),Design!$B$38,Design!$B$39)),Design!$B$31,Design!$B$32)*1000000)&lt;0,0,($B10-R10*IF(ISBLANK(Design!$B$40),Constants!$C$6,Design!$B$40)/1000*(1+Constants!$C$31/100*(AC10-25))-Design!$C$28)/(IF(ISBLANK(Design!$B$39),Design!$B$38,Design!$B$39)/1000000)*T10/100/(IF(ISBLANK(Design!$B$32),Design!$B$31,Design!$B$32)*1000000))</f>
        <v>0.58154291850242235</v>
      </c>
      <c r="V10" s="226">
        <f>$B10*Constants!$C$18/1000+IF(ISBLANK(Design!$B$32),Design!$B$31,Design!$B$32)*1000000*Constants!$D$22/1000000000*($B10-Constants!$C$21)</f>
        <v>9.0010000000000021E-2</v>
      </c>
      <c r="W10" s="226">
        <f>$B10*R10*($B10/(Constants!$C$23*1000000000)*IF(ISBLANK(Design!$B$32),Design!$B$31,Design!$B$32)*1000000/2+$B10/(Constants!$C$24*1000000000)*IF(ISBLANK(Design!$B$32),Design!$B$31,Design!$B$32)*1000000/2)</f>
        <v>0.32728990789473694</v>
      </c>
      <c r="X10" s="226">
        <f t="shared" ca="1" si="2"/>
        <v>0.23610895192653067</v>
      </c>
      <c r="Y10" s="226">
        <f>Constants!$D$22/1000000000*Constants!$C$21*IF(ISBLANK(Design!$B$32),Design!$B$31,Design!$B$32)*1000000</f>
        <v>4.9999999999999996E-2</v>
      </c>
      <c r="Z10" s="226">
        <f t="shared" ca="1" si="10"/>
        <v>0.70340885982126766</v>
      </c>
      <c r="AA10" s="226">
        <f t="shared" ca="1" si="7"/>
        <v>0.57282685527120303</v>
      </c>
      <c r="AB10" s="227">
        <f ca="1">$A10+AA10*Design!$B$19</f>
        <v>117.65113075045858</v>
      </c>
      <c r="AC10" s="227">
        <f ca="1">Z10*Design!$C$12+$A10</f>
        <v>108.91590123392311</v>
      </c>
      <c r="AD10" s="227">
        <f ca="1">Constants!$D$19+Constants!$D$19*Constants!$C$20/100*(AC10-25)</f>
        <v>124.50200319966575</v>
      </c>
      <c r="AE10" s="226">
        <f ca="1">(1-Constants!$C$17/1000000000*Design!$B$32*1000000) * ($B10+S10-R10*AD10/1000) - (S10+R10*(1+($A10-25)*Constants!$C$31/100)*IF(ISBLANK(Design!$B$40),Constants!$C$6/1000,Design!$B$40/1000))</f>
        <v>9.0106515805022394</v>
      </c>
      <c r="AF10" s="160">
        <f ca="1">IF(AE10&gt;Design!$C$28,Design!$C$28,AE10)</f>
        <v>3.3239005736137672</v>
      </c>
      <c r="AG10" s="161">
        <f>Design!$D$6/3</f>
        <v>1.1666666666666667</v>
      </c>
      <c r="AH10" s="161">
        <f ca="1">FORECAST(AG10, OFFSET(Design!$C$15:$C$17,MATCH(AG10,Design!$B$15:$B$17,1)-1,0,2), OFFSET(Design!$B$15:$B$17,MATCH(AG10,Design!$B$15:$B$17,1)-1,0,2))+(AQ10-25)*Design!$B$18/1000</f>
        <v>0.3210007520742974</v>
      </c>
      <c r="AI10" s="239">
        <f ca="1">IF(100*(Design!$C$28+AH10+AG10*IF(ISBLANK(Design!$B$40),Constants!$C$6,Design!$B$40)/1000*(1+Constants!$C$31/100*(AR10-25)))/($B10+AH10-AG10*AS10/1000)&gt;Design!$C$35,Design!$C$35,100*(Design!$C$28+AH10+AG10*IF(ISBLANK(Design!$B$40),Constants!$C$6,Design!$B$40)/1000*(1+Constants!$C$31/100*(AR10-25)))/($B10+AH10-AG10*AS10/1000))</f>
        <v>33.551636670614769</v>
      </c>
      <c r="AJ10" s="162">
        <f ca="1">IF(($B10-AG10*IF(ISBLANK(Design!$B$40),Constants!$C$6,Design!$B$40)/1000*(1+Constants!$C$31/100*(AR10-25))-Design!$C$28)/(IF(ISBLANK(Design!$B$39),Design!$B$38,Design!$B$39)/1000000)*AI10/100/(IF(ISBLANK(Design!$B$32),Design!$B$31,Design!$B$32)*1000000)&lt;0,0,($B10-AG10*IF(ISBLANK(Design!$B$40),Constants!$C$6,Design!$B$40)/1000*(1+Constants!$C$31/100*(AR10-25))-Design!$C$28)/(IF(ISBLANK(Design!$B$39),Design!$B$38,Design!$B$39)/1000000)*AI10/100/(IF(ISBLANK(Design!$B$32),Design!$B$31,Design!$B$32)*1000000))</f>
        <v>0.56550867535776783</v>
      </c>
      <c r="AK10" s="240">
        <f>$B10*Constants!$C$18/1000+IF(ISBLANK(Design!$B$32),Design!$B$31,Design!$B$32)*1000000*Constants!$D$22/1000000000*($B10-Constants!$C$21)</f>
        <v>9.0010000000000021E-2</v>
      </c>
      <c r="AL10" s="240">
        <f>$B10*AG10*($B10/(Constants!$C$23*1000000000)*IF(ISBLANK(Design!$B$32),Design!$B$31,Design!$B$32)*1000000/2+$B10/(Constants!$C$24*1000000000)*IF(ISBLANK(Design!$B$32),Design!$B$31,Design!$B$32)*1000000/2)</f>
        <v>0.16364495394736847</v>
      </c>
      <c r="AM10" s="240">
        <f t="shared" ca="1" si="3"/>
        <v>5.5142044629642069E-2</v>
      </c>
      <c r="AN10" s="240">
        <f>Constants!$D$22/1000000000*Constants!$C$21*IF(ISBLANK(Design!$B$32),Design!$B$31,Design!$B$32)*1000000</f>
        <v>4.9999999999999996E-2</v>
      </c>
      <c r="AO10" s="240">
        <f t="shared" ca="1" si="11"/>
        <v>0.35879699857701053</v>
      </c>
      <c r="AP10" s="240">
        <f t="shared" ca="1" si="9"/>
        <v>0.24884970369978626</v>
      </c>
      <c r="AQ10" s="241">
        <f ca="1">$A10+AP10*Design!$B$19</f>
        <v>99.184433110887824</v>
      </c>
      <c r="AR10" s="241">
        <f ca="1">AO10*Design!$C$12+$A10</f>
        <v>97.199097951618356</v>
      </c>
      <c r="AS10" s="241">
        <f ca="1">Constants!$D$19+Constants!$D$19*Constants!$C$20/100*(AR10-25)</f>
        <v>118.42801237811896</v>
      </c>
      <c r="AT10" s="240">
        <f ca="1">(1-Constants!$C$17/1000000000*Design!$B$32*1000000) * ($B10+AH10-AG10*AS10/1000) - (AH10+AG10*(1+($A10-25)*Constants!$C$31/100)*IF(ISBLANK(Design!$B$40),Constants!$C$6/1000,Design!$B$40/1000))</f>
        <v>9.1791301363332192</v>
      </c>
      <c r="AU10" s="162">
        <f ca="1">IF(AT10&gt;Design!$C$28,Design!$C$28,AT10)</f>
        <v>3.3239005736137672</v>
      </c>
    </row>
    <row r="11" spans="1:47" s="163" customFormat="1" ht="12.75" customHeight="1">
      <c r="A11" s="155">
        <f>Design!$D$13</f>
        <v>85</v>
      </c>
      <c r="B11" s="156">
        <f t="shared" si="0"/>
        <v>10.565000000000001</v>
      </c>
      <c r="C11" s="157">
        <f>Design!$D$6</f>
        <v>3.5</v>
      </c>
      <c r="D11" s="157">
        <f ca="1">FORECAST(C11, OFFSET(Design!$C$15:$C$17,MATCH(C11,Design!$B$15:$B$17,1)-1,0,2), OFFSET(Design!$B$15:$B$17,MATCH(C11,Design!$B$15:$B$17,1)-1,0,2))+(M11-25)*Design!$B$18/1000</f>
        <v>0.3881920468547993</v>
      </c>
      <c r="E11" s="216">
        <f ca="1">IF(100*(Design!$C$28+D11+C11*IF(ISBLANK(Design!$B$40),Constants!$C$6,Design!$B$40)/1000*(1+Constants!$C$31/100*(N11-25)))/($B11+D11-C11*O11/1000)&gt;Design!$C$35,Design!$C$35,100*(Design!$C$28+D11+C11*IF(ISBLANK(Design!$B$40),Constants!$C$6,Design!$B$40)/1000*(1+Constants!$C$31/100*(N11-25)))/($B11+D11-C11*O11/1000))</f>
        <v>36.331086152277528</v>
      </c>
      <c r="F11" s="158">
        <f ca="1">IF(($B11-C11*IF(ISBLANK(Design!$B$40),Constants!$C$6,Design!$B$40)/1000*(1+Constants!$C$31/100*(N11-25))-Design!$C$28)/(IF(ISBLANK(Design!$B$39),Design!$B$38,Design!$B$39)/1000000)*E11/100/(IF(ISBLANK(Design!$B$32),Design!$B$31,Design!$B$32)*1000000)&lt;0, 0, ($B11-C11*IF(ISBLANK(Design!$B$40),Constants!$C$6,Design!$B$40)/1000*(1+Constants!$C$31/100*(N11-25))-Design!$C$28)/(IF(ISBLANK(Design!$B$39),Design!$B$38,Design!$B$39)/1000000)*E11/100/(IF(ISBLANK(Design!$B$32),Design!$B$31,Design!$B$32)*1000000))</f>
        <v>0.58982910697898983</v>
      </c>
      <c r="G11" s="208">
        <f>B11*Constants!$C$18/1000+IF(ISBLANK(Design!$B$32),Design!$B$31,Design!$B$32)*1000000*Constants!$D$22/1000000000*(B11-Constants!$C$21)</f>
        <v>8.7345000000000006E-2</v>
      </c>
      <c r="H11" s="208">
        <f>B11*C11*(B11/(Constants!$C$23*1000000000)*IF(ISBLANK(Design!$B$32),Design!$B$31,Design!$B$32)*1000000/2+B11/(Constants!$C$24*1000000000)*IF(ISBLANK(Design!$B$32),Design!$B$31,Design!$B$32)*1000000/2)</f>
        <v>0.47242347423245623</v>
      </c>
      <c r="I11" s="208">
        <f t="shared" ca="1" si="1"/>
        <v>0.59482240947097198</v>
      </c>
      <c r="J11" s="208">
        <f>Constants!$D$22/1000000000*Constants!$C$21*IF(ISBLANK(Design!$B$32),Design!$B$31,Design!$B$32)*1000000</f>
        <v>4.9999999999999996E-2</v>
      </c>
      <c r="K11" s="208">
        <f t="shared" ca="1" si="4"/>
        <v>1.2045908837034283</v>
      </c>
      <c r="L11" s="208">
        <f t="shared" ca="1" si="5"/>
        <v>0.86505180956492411</v>
      </c>
      <c r="M11" s="209">
        <f ca="1">A11+L11*Design!$B$19</f>
        <v>134.30795314520068</v>
      </c>
      <c r="N11" s="209">
        <f ca="1">K11*Design!$C$12+A11</f>
        <v>125.95609004591657</v>
      </c>
      <c r="O11" s="209">
        <f ca="1">Constants!$D$19+Constants!$D$19*Constants!$C$20/100*(N11-25)</f>
        <v>133.33563707980315</v>
      </c>
      <c r="P11" s="208">
        <f ca="1">(1-Constants!$C$17/1000000000*Design!$B$32*1000000) * ($B11+D11-C11*O11/1000) - (D11+C11*(1+($A11-25)*Constants!$C$31/100)*IF(ISBLANK(Design!$B$40),Constants!$C$6/1000,Design!$B$40/1000))</f>
        <v>8.6485720190008752</v>
      </c>
      <c r="Q11" s="214">
        <f ca="1">IF(P11&gt;Design!$C$28,Design!$C$28,P11)</f>
        <v>3.3239005736137672</v>
      </c>
      <c r="R11" s="224">
        <f>2*Design!$D$6/3</f>
        <v>2.3333333333333335</v>
      </c>
      <c r="S11" s="159">
        <f ca="1">FORECAST(R11, OFFSET(Design!$C$15:$C$17,MATCH(R11,Design!$B$15:$B$17,1)-1,0,2), OFFSET(Design!$B$15:$B$17,MATCH(R11,Design!$B$15:$B$17,1)-1,0,2))+(AB11-25)*Design!$B$18/1000</f>
        <v>0.3759889670260701</v>
      </c>
      <c r="T11" s="225">
        <f ca="1">IF(100*(Design!$C$28+S11+R11*IF(ISBLANK(Design!$B$40),Constants!$C$6,Design!$B$40)/1000*(1+Constants!$C$31/100*(AC11-25)))/($B11+S11-R11*AD11/1000)&gt;Design!$C$35,Design!$C$35,100*(Design!$C$28+S11+R11*IF(ISBLANK(Design!$B$40),Constants!$C$6,Design!$B$40)/1000*(1+Constants!$C$31/100*(AC11-25)))/($B11+S11-R11*AD11/1000))</f>
        <v>35.319718012390695</v>
      </c>
      <c r="U11" s="160">
        <f ca="1">IF(($B11-R11*IF(ISBLANK(Design!$B$40),Constants!$C$6,Design!$B$40)/1000*(1+Constants!$C$31/100*(AC11-25))-Design!$C$28)/(Design!$B$39/1000000)*T11/100/(IF(ISBLANK(IF(ISBLANK(Design!$B$39),Design!$B$38,Design!$B$39)),Design!$B$31,Design!$B$32)*1000000)&lt;0,0,($B11-R11*IF(ISBLANK(Design!$B$40),Constants!$C$6,Design!$B$40)/1000*(1+Constants!$C$31/100*(AC11-25))-Design!$C$28)/(IF(ISBLANK(Design!$B$39),Design!$B$38,Design!$B$39)/1000000)*T11/100/(IF(ISBLANK(Design!$B$32),Design!$B$31,Design!$B$32)*1000000))</f>
        <v>0.57628215988366338</v>
      </c>
      <c r="V11" s="226">
        <f>$B11*Constants!$C$18/1000+IF(ISBLANK(Design!$B$32),Design!$B$31,Design!$B$32)*1000000*Constants!$D$22/1000000000*($B11-Constants!$C$21)</f>
        <v>8.7345000000000006E-2</v>
      </c>
      <c r="W11" s="226">
        <f>$B11*R11*($B11/(Constants!$C$23*1000000000)*IF(ISBLANK(Design!$B$32),Design!$B$31,Design!$B$32)*1000000/2+$B11/(Constants!$C$24*1000000000)*IF(ISBLANK(Design!$B$32),Design!$B$31,Design!$B$32)*1000000/2)</f>
        <v>0.31494898282163747</v>
      </c>
      <c r="X11" s="226">
        <f t="shared" ca="1" si="2"/>
        <v>0.24025986891288059</v>
      </c>
      <c r="Y11" s="226">
        <f>Constants!$D$22/1000000000*Constants!$C$21*IF(ISBLANK(Design!$B$32),Design!$B$31,Design!$B$32)*1000000</f>
        <v>4.9999999999999996E-2</v>
      </c>
      <c r="Z11" s="226">
        <f t="shared" ca="1" si="10"/>
        <v>0.69255385173451811</v>
      </c>
      <c r="AA11" s="226">
        <f t="shared" ca="1" si="7"/>
        <v>0.56744502293444365</v>
      </c>
      <c r="AB11" s="227">
        <f ca="1">$A11+AA11*Design!$B$19</f>
        <v>117.34436630726329</v>
      </c>
      <c r="AC11" s="227">
        <f ca="1">Z11*Design!$C$12+$A11</f>
        <v>108.54683095897362</v>
      </c>
      <c r="AD11" s="227">
        <f ca="1">Constants!$D$19+Constants!$D$19*Constants!$C$20/100*(AC11-25)</f>
        <v>124.31067716913194</v>
      </c>
      <c r="AE11" s="226">
        <f ca="1">(1-Constants!$C$17/1000000000*Design!$B$32*1000000) * ($B11+S11-R11*AD11/1000) - (S11+R11*(1+($A11-25)*Constants!$C$31/100)*IF(ISBLANK(Design!$B$40),Constants!$C$6/1000,Design!$B$40/1000))</f>
        <v>8.8326500929666079</v>
      </c>
      <c r="AF11" s="160">
        <f ca="1">IF(AE11&gt;Design!$C$28,Design!$C$28,AE11)</f>
        <v>3.3239005736137672</v>
      </c>
      <c r="AG11" s="161">
        <f>Design!$D$6/3</f>
        <v>1.1666666666666667</v>
      </c>
      <c r="AH11" s="161">
        <f ca="1">FORECAST(AG11, OFFSET(Design!$C$15:$C$17,MATCH(AG11,Design!$B$15:$B$17,1)-1,0,2), OFFSET(Design!$B$15:$B$17,MATCH(AG11,Design!$B$15:$B$17,1)-1,0,2))+(AQ11-25)*Design!$B$18/1000</f>
        <v>0.3211316438063242</v>
      </c>
      <c r="AI11" s="239">
        <f ca="1">IF(100*(Design!$C$28+AH11+AG11*IF(ISBLANK(Design!$B$40),Constants!$C$6,Design!$B$40)/1000*(1+Constants!$C$31/100*(AR11-25)))/($B11+AH11-AG11*AS11/1000)&gt;Design!$C$35,Design!$C$35,100*(Design!$C$28+AH11+AG11*IF(ISBLANK(Design!$B$40),Constants!$C$6,Design!$B$40)/1000*(1+Constants!$C$31/100*(AR11-25)))/($B11+AH11-AG11*AS11/1000))</f>
        <v>34.191645892849181</v>
      </c>
      <c r="AJ11" s="162">
        <f ca="1">IF(($B11-AG11*IF(ISBLANK(Design!$B$40),Constants!$C$6,Design!$B$40)/1000*(1+Constants!$C$31/100*(AR11-25))-Design!$C$28)/(IF(ISBLANK(Design!$B$39),Design!$B$38,Design!$B$39)/1000000)*AI11/100/(IF(ISBLANK(Design!$B$32),Design!$B$31,Design!$B$32)*1000000)&lt;0,0,($B11-AG11*IF(ISBLANK(Design!$B$40),Constants!$C$6,Design!$B$40)/1000*(1+Constants!$C$31/100*(AR11-25))-Design!$C$28)/(IF(ISBLANK(Design!$B$39),Design!$B$38,Design!$B$39)/1000000)*AI11/100/(IF(ISBLANK(Design!$B$32),Design!$B$31,Design!$B$32)*1000000))</f>
        <v>0.56036765925168253</v>
      </c>
      <c r="AK11" s="240">
        <f>$B11*Constants!$C$18/1000+IF(ISBLANK(Design!$B$32),Design!$B$31,Design!$B$32)*1000000*Constants!$D$22/1000000000*($B11-Constants!$C$21)</f>
        <v>8.7345000000000006E-2</v>
      </c>
      <c r="AL11" s="240">
        <f>$B11*AG11*($B11/(Constants!$C$23*1000000000)*IF(ISBLANK(Design!$B$32),Design!$B$31,Design!$B$32)*1000000/2+$B11/(Constants!$C$24*1000000000)*IF(ISBLANK(Design!$B$32),Design!$B$31,Design!$B$32)*1000000/2)</f>
        <v>0.15747449141081873</v>
      </c>
      <c r="AM11" s="240">
        <f t="shared" ca="1" si="3"/>
        <v>5.610857959680398E-2</v>
      </c>
      <c r="AN11" s="240">
        <f>Constants!$D$22/1000000000*Constants!$C$21*IF(ISBLANK(Design!$B$32),Design!$B$31,Design!$B$32)*1000000</f>
        <v>4.9999999999999996E-2</v>
      </c>
      <c r="AO11" s="240">
        <f t="shared" ca="1" si="11"/>
        <v>0.35092807100762269</v>
      </c>
      <c r="AP11" s="240">
        <f t="shared" ca="1" si="9"/>
        <v>0.24655335752387678</v>
      </c>
      <c r="AQ11" s="241">
        <f ca="1">$A11+AP11*Design!$B$19</f>
        <v>99.05354137886097</v>
      </c>
      <c r="AR11" s="241">
        <f ca="1">AO11*Design!$C$12+$A11</f>
        <v>96.931554414259168</v>
      </c>
      <c r="AS11" s="241">
        <f ca="1">Constants!$D$19+Constants!$D$19*Constants!$C$20/100*(AR11-25)</f>
        <v>118.28931780835197</v>
      </c>
      <c r="AT11" s="240">
        <f ca="1">(1-Constants!$C$17/1000000000*Design!$B$32*1000000) * ($B11+AH11-AG11*AS11/1000) - (AH11+AG11*(1+($A11-25)*Constants!$C$31/100)*IF(ISBLANK(Design!$B$40),Constants!$C$6/1000,Design!$B$40/1000))</f>
        <v>9.0009038953963678</v>
      </c>
      <c r="AU11" s="162">
        <f ca="1">IF(AT11&gt;Design!$C$28,Design!$C$28,AT11)</f>
        <v>3.3239005736137672</v>
      </c>
    </row>
    <row r="12" spans="1:47" s="163" customFormat="1" ht="12.75" customHeight="1">
      <c r="A12" s="155">
        <f>Design!$D$13</f>
        <v>85</v>
      </c>
      <c r="B12" s="156">
        <f t="shared" si="0"/>
        <v>10.360000000000001</v>
      </c>
      <c r="C12" s="157">
        <f>Design!$D$6</f>
        <v>3.5</v>
      </c>
      <c r="D12" s="157">
        <f ca="1">FORECAST(C12, OFFSET(Design!$C$15:$C$17,MATCH(C12,Design!$B$15:$B$17,1)-1,0,2), OFFSET(Design!$B$15:$B$17,MATCH(C12,Design!$B$15:$B$17,1)-1,0,2))+(M12-25)*Design!$B$18/1000</f>
        <v>0.38869045413313502</v>
      </c>
      <c r="E12" s="216">
        <f ca="1">IF(100*(Design!$C$28+D12+C12*IF(ISBLANK(Design!$B$40),Constants!$C$6,Design!$B$40)/1000*(1+Constants!$C$31/100*(N12-25)))/($B12+D12-C12*O12/1000)&gt;Design!$C$35,Design!$C$35,100*(Design!$C$28+D12+C12*IF(ISBLANK(Design!$B$40),Constants!$C$6,Design!$B$40)/1000*(1+Constants!$C$31/100*(N12-25)))/($B12+D12-C12*O12/1000))</f>
        <v>37.055470445134581</v>
      </c>
      <c r="F12" s="158">
        <f ca="1">IF(($B12-C12*IF(ISBLANK(Design!$B$40),Constants!$C$6,Design!$B$40)/1000*(1+Constants!$C$31/100*(N12-25))-Design!$C$28)/(IF(ISBLANK(Design!$B$39),Design!$B$38,Design!$B$39)/1000000)*E12/100/(IF(ISBLANK(Design!$B$32),Design!$B$31,Design!$B$32)*1000000)&lt;0, 0, ($B12-C12*IF(ISBLANK(Design!$B$40),Constants!$C$6,Design!$B$40)/1000*(1+Constants!$C$31/100*(N12-25))-Design!$C$28)/(IF(ISBLANK(Design!$B$39),Design!$B$38,Design!$B$39)/1000000)*E12/100/(IF(ISBLANK(Design!$B$32),Design!$B$31,Design!$B$32)*1000000))</f>
        <v>0.5843325810105594</v>
      </c>
      <c r="G12" s="208">
        <f>B12*Constants!$C$18/1000+IF(ISBLANK(Design!$B$32),Design!$B$31,Design!$B$32)*1000000*Constants!$D$22/1000000000*(B12-Constants!$C$21)</f>
        <v>8.4680000000000019E-2</v>
      </c>
      <c r="H12" s="208">
        <f>B12*C12*(B12/(Constants!$C$23*1000000000)*IF(ISBLANK(Design!$B$32),Design!$B$31,Design!$B$32)*1000000/2+B12/(Constants!$C$24*1000000000)*IF(ISBLANK(Design!$B$32),Design!$B$31,Design!$B$32)*1000000/2)</f>
        <v>0.45426782456140363</v>
      </c>
      <c r="I12" s="208">
        <f t="shared" ca="1" si="1"/>
        <v>0.60587208316269536</v>
      </c>
      <c r="J12" s="208">
        <f>Constants!$D$22/1000000000*Constants!$C$21*IF(ISBLANK(Design!$B$32),Design!$B$31,Design!$B$32)*1000000</f>
        <v>4.9999999999999996E-2</v>
      </c>
      <c r="K12" s="208">
        <f t="shared" ca="1" si="4"/>
        <v>1.1948199077240991</v>
      </c>
      <c r="L12" s="208">
        <f t="shared" ca="1" si="5"/>
        <v>0.85630782222570134</v>
      </c>
      <c r="M12" s="209">
        <f ca="1">A12+L12*Design!$B$19</f>
        <v>133.80954586686499</v>
      </c>
      <c r="N12" s="209">
        <f ca="1">K12*Design!$C$12+A12</f>
        <v>125.62387686261937</v>
      </c>
      <c r="O12" s="209">
        <f ca="1">Constants!$D$19+Constants!$D$19*Constants!$C$20/100*(N12-25)</f>
        <v>133.1634177655819</v>
      </c>
      <c r="P12" s="208">
        <f ca="1">(1-Constants!$C$17/1000000000*Design!$B$32*1000000) * ($B12+D12-C12*O12/1000) - (D12+C12*(1+($A12-25)*Constants!$C$31/100)*IF(ISBLANK(Design!$B$40),Constants!$C$6/1000,Design!$B$40/1000))</f>
        <v>8.4706816338664961</v>
      </c>
      <c r="Q12" s="214">
        <f ca="1">IF(P12&gt;Design!$C$28,Design!$C$28,P12)</f>
        <v>3.3239005736137672</v>
      </c>
      <c r="R12" s="224">
        <f>2*Design!$D$6/3</f>
        <v>2.3333333333333335</v>
      </c>
      <c r="S12" s="159">
        <f ca="1">FORECAST(R12, OFFSET(Design!$C$15:$C$17,MATCH(R12,Design!$B$15:$B$17,1)-1,0,2), OFFSET(Design!$B$15:$B$17,MATCH(R12,Design!$B$15:$B$17,1)-1,0,2))+(AB12-25)*Design!$B$18/1000</f>
        <v>0.37630833208290476</v>
      </c>
      <c r="T12" s="225">
        <f ca="1">IF(100*(Design!$C$28+S12+R12*IF(ISBLANK(Design!$B$40),Constants!$C$6,Design!$B$40)/1000*(1+Constants!$C$31/100*(AC12-25)))/($B12+S12-R12*AD12/1000)&gt;Design!$C$35,Design!$C$35,100*(Design!$C$28+S12+R12*IF(ISBLANK(Design!$B$40),Constants!$C$6,Design!$B$40)/1000*(1+Constants!$C$31/100*(AC12-25)))/($B12+S12-R12*AD12/1000))</f>
        <v>36.012715489679593</v>
      </c>
      <c r="U12" s="160">
        <f ca="1">IF(($B12-R12*IF(ISBLANK(Design!$B$40),Constants!$C$6,Design!$B$40)/1000*(1+Constants!$C$31/100*(AC12-25))-Design!$C$28)/(Design!$B$39/1000000)*T12/100/(IF(ISBLANK(IF(ISBLANK(Design!$B$39),Design!$B$38,Design!$B$39)),Design!$B$31,Design!$B$32)*1000000)&lt;0,0,($B12-R12*IF(ISBLANK(Design!$B$40),Constants!$C$6,Design!$B$40)/1000*(1+Constants!$C$31/100*(AC12-25))-Design!$C$28)/(IF(ISBLANK(Design!$B$39),Design!$B$38,Design!$B$39)/1000000)*T12/100/(IF(ISBLANK(Design!$B$32),Design!$B$31,Design!$B$32)*1000000))</f>
        <v>0.57081589444226721</v>
      </c>
      <c r="V12" s="226">
        <f>$B12*Constants!$C$18/1000+IF(ISBLANK(Design!$B$32),Design!$B$31,Design!$B$32)*1000000*Constants!$D$22/1000000000*($B12-Constants!$C$21)</f>
        <v>8.4680000000000019E-2</v>
      </c>
      <c r="W12" s="226">
        <f>$B12*R12*($B12/(Constants!$C$23*1000000000)*IF(ISBLANK(Design!$B$32),Design!$B$31,Design!$B$32)*1000000/2+$B12/(Constants!$C$24*1000000000)*IF(ISBLANK(Design!$B$32),Design!$B$31,Design!$B$32)*1000000/2)</f>
        <v>0.30284521637426914</v>
      </c>
      <c r="X12" s="226">
        <f t="shared" ca="1" si="2"/>
        <v>0.24458792925179909</v>
      </c>
      <c r="Y12" s="226">
        <f>Constants!$D$22/1000000000*Constants!$C$21*IF(ISBLANK(Design!$B$32),Design!$B$31,Design!$B$32)*1000000</f>
        <v>4.9999999999999996E-2</v>
      </c>
      <c r="Z12" s="226">
        <f t="shared" ca="1" si="10"/>
        <v>0.68211314562606828</v>
      </c>
      <c r="AA12" s="226">
        <f t="shared" ca="1" si="7"/>
        <v>0.56184212720050242</v>
      </c>
      <c r="AB12" s="227">
        <f ca="1">$A12+AA12*Design!$B$19</f>
        <v>117.02500125042863</v>
      </c>
      <c r="AC12" s="227">
        <f ca="1">Z12*Design!$C$12+$A12</f>
        <v>108.19184695128632</v>
      </c>
      <c r="AD12" s="227">
        <f ca="1">Constants!$D$19+Constants!$D$19*Constants!$C$20/100*(AC12-25)</f>
        <v>124.12665345954684</v>
      </c>
      <c r="AE12" s="226">
        <f ca="1">(1-Constants!$C$17/1000000000*Design!$B$32*1000000) * ($B12+S12-R12*AD12/1000) - (S12+R12*(1+($A12-25)*Constants!$C$31/100)*IF(ISBLANK(Design!$B$40),Constants!$C$6/1000,Design!$B$40/1000))</f>
        <v>8.6546321436396756</v>
      </c>
      <c r="AF12" s="160">
        <f ca="1">IF(AE12&gt;Design!$C$28,Design!$C$28,AE12)</f>
        <v>3.3239005736137672</v>
      </c>
      <c r="AG12" s="161">
        <f>Design!$D$6/3</f>
        <v>1.1666666666666667</v>
      </c>
      <c r="AH12" s="161">
        <f ca="1">FORECAST(AG12, OFFSET(Design!$C$15:$C$17,MATCH(AG12,Design!$B$15:$B$17,1)-1,0,2), OFFSET(Design!$B$15:$B$17,MATCH(AG12,Design!$B$15:$B$17,1)-1,0,2))+(AQ12-25)*Design!$B$18/1000</f>
        <v>0.32126774104624967</v>
      </c>
      <c r="AI12" s="239">
        <f ca="1">IF(100*(Design!$C$28+AH12+AG12*IF(ISBLANK(Design!$B$40),Constants!$C$6,Design!$B$40)/1000*(1+Constants!$C$31/100*(AR12-25)))/($B12+AH12-AG12*AS12/1000)&gt;Design!$C$35,Design!$C$35,100*(Design!$C$28+AH12+AG12*IF(ISBLANK(Design!$B$40),Constants!$C$6,Design!$B$40)/1000*(1+Constants!$C$31/100*(AR12-25)))/($B12+AH12-AG12*AS12/1000))</f>
        <v>34.856554975565153</v>
      </c>
      <c r="AJ12" s="162">
        <f ca="1">IF(($B12-AG12*IF(ISBLANK(Design!$B$40),Constants!$C$6,Design!$B$40)/1000*(1+Constants!$C$31/100*(AR12-25))-Design!$C$28)/(IF(ISBLANK(Design!$B$39),Design!$B$38,Design!$B$39)/1000000)*AI12/100/(IF(ISBLANK(Design!$B$32),Design!$B$31,Design!$B$32)*1000000)&lt;0,0,($B12-AG12*IF(ISBLANK(Design!$B$40),Constants!$C$6,Design!$B$40)/1000*(1+Constants!$C$31/100*(AR12-25))-Design!$C$28)/(IF(ISBLANK(Design!$B$39),Design!$B$38,Design!$B$39)/1000000)*AI12/100/(IF(ISBLANK(Design!$B$32),Design!$B$31,Design!$B$32)*1000000))</f>
        <v>0.55502678820782492</v>
      </c>
      <c r="AK12" s="240">
        <f>$B12*Constants!$C$18/1000+IF(ISBLANK(Design!$B$32),Design!$B$31,Design!$B$32)*1000000*Constants!$D$22/1000000000*($B12-Constants!$C$21)</f>
        <v>8.4680000000000019E-2</v>
      </c>
      <c r="AL12" s="240">
        <f>$B12*AG12*($B12/(Constants!$C$23*1000000000)*IF(ISBLANK(Design!$B$32),Design!$B$31,Design!$B$32)*1000000/2+$B12/(Constants!$C$24*1000000000)*IF(ISBLANK(Design!$B$32),Design!$B$31,Design!$B$32)*1000000/2)</f>
        <v>0.15142260818713457</v>
      </c>
      <c r="AM12" s="240">
        <f t="shared" ca="1" si="3"/>
        <v>5.7113523187104394E-2</v>
      </c>
      <c r="AN12" s="240">
        <f>Constants!$D$22/1000000000*Constants!$C$21*IF(ISBLANK(Design!$B$32),Design!$B$31,Design!$B$32)*1000000</f>
        <v>4.9999999999999996E-2</v>
      </c>
      <c r="AO12" s="240">
        <f t="shared" ca="1" si="11"/>
        <v>0.34321613137423895</v>
      </c>
      <c r="AP12" s="240">
        <f t="shared" ca="1" si="9"/>
        <v>0.24416568664799193</v>
      </c>
      <c r="AQ12" s="241">
        <f ca="1">$A12+AP12*Design!$B$19</f>
        <v>98.917444138935537</v>
      </c>
      <c r="AR12" s="241">
        <f ca="1">AO12*Design!$C$12+$A12</f>
        <v>96.669348466724131</v>
      </c>
      <c r="AS12" s="241">
        <f ca="1">Constants!$D$19+Constants!$D$19*Constants!$C$20/100*(AR12-25)</f>
        <v>118.15339024514979</v>
      </c>
      <c r="AT12" s="240">
        <f ca="1">(1-Constants!$C$17/1000000000*Design!$B$32*1000000) * ($B12+AH12-AG12*AS12/1000) - (AH12+AG12*(1+($A12-25)*Constants!$C$31/100)*IF(ISBLANK(Design!$B$40),Constants!$C$6/1000,Design!$B$40/1000))</f>
        <v>8.8226741692318278</v>
      </c>
      <c r="AU12" s="162">
        <f ca="1">IF(AT12&gt;Design!$C$28,Design!$C$28,AT12)</f>
        <v>3.3239005736137672</v>
      </c>
    </row>
    <row r="13" spans="1:47" s="163" customFormat="1" ht="12.75" customHeight="1">
      <c r="A13" s="155">
        <f>Design!$D$13</f>
        <v>85</v>
      </c>
      <c r="B13" s="156">
        <f t="shared" si="0"/>
        <v>10.155000000000001</v>
      </c>
      <c r="C13" s="157">
        <f>Design!$D$6</f>
        <v>3.5</v>
      </c>
      <c r="D13" s="157">
        <f ca="1">FORECAST(C13, OFFSET(Design!$C$15:$C$17,MATCH(C13,Design!$B$15:$B$17,1)-1,0,2), OFFSET(Design!$B$15:$B$17,MATCH(C13,Design!$B$15:$B$17,1)-1,0,2))+(M13-25)*Design!$B$18/1000</f>
        <v>0.38921067823407052</v>
      </c>
      <c r="E13" s="216">
        <f ca="1">IF(100*(Design!$C$28+D13+C13*IF(ISBLANK(Design!$B$40),Constants!$C$6,Design!$B$40)/1000*(1+Constants!$C$31/100*(N13-25)))/($B13+D13-C13*O13/1000)&gt;Design!$C$35,Design!$C$35,100*(Design!$C$28+D13+C13*IF(ISBLANK(Design!$B$40),Constants!$C$6,Design!$B$40)/1000*(1+Constants!$C$31/100*(N13-25)))/($B13+D13-C13*O13/1000))</f>
        <v>37.809584445800958</v>
      </c>
      <c r="F13" s="158">
        <f ca="1">IF(($B13-C13*IF(ISBLANK(Design!$B$40),Constants!$C$6,Design!$B$40)/1000*(1+Constants!$C$31/100*(N13-25))-Design!$C$28)/(IF(ISBLANK(Design!$B$39),Design!$B$38,Design!$B$39)/1000000)*E13/100/(IF(ISBLANK(Design!$B$32),Design!$B$31,Design!$B$32)*1000000)&lt;0, 0, ($B13-C13*IF(ISBLANK(Design!$B$40),Constants!$C$6,Design!$B$40)/1000*(1+Constants!$C$31/100*(N13-25))-Design!$C$28)/(IF(ISBLANK(Design!$B$39),Design!$B$38,Design!$B$39)/1000000)*E13/100/(IF(ISBLANK(Design!$B$32),Design!$B$31,Design!$B$32)*1000000))</f>
        <v>0.57861562004599343</v>
      </c>
      <c r="G13" s="208">
        <f>B13*Constants!$C$18/1000+IF(ISBLANK(Design!$B$32),Design!$B$31,Design!$B$32)*1000000*Constants!$D$22/1000000000*(B13-Constants!$C$21)</f>
        <v>8.2015000000000018E-2</v>
      </c>
      <c r="H13" s="208">
        <f>B13*C13*(B13/(Constants!$C$23*1000000000)*IF(ISBLANK(Design!$B$32),Design!$B$31,Design!$B$32)*1000000/2+B13/(Constants!$C$24*1000000000)*IF(ISBLANK(Design!$B$32),Design!$B$31,Design!$B$32)*1000000/2)</f>
        <v>0.43646791282894748</v>
      </c>
      <c r="I13" s="208">
        <f t="shared" ca="1" si="1"/>
        <v>0.61744685087024287</v>
      </c>
      <c r="J13" s="208">
        <f>Constants!$D$22/1000000000*Constants!$C$21*IF(ISBLANK(Design!$B$32),Design!$B$31,Design!$B$32)*1000000</f>
        <v>4.9999999999999996E-2</v>
      </c>
      <c r="K13" s="208">
        <f t="shared" ca="1" si="4"/>
        <v>1.1859297636991906</v>
      </c>
      <c r="L13" s="208">
        <f t="shared" ca="1" si="5"/>
        <v>0.84718108361279743</v>
      </c>
      <c r="M13" s="209">
        <f ca="1">A13+L13*Design!$B$19</f>
        <v>133.28932176592946</v>
      </c>
      <c r="N13" s="209">
        <f ca="1">K13*Design!$C$12+A13</f>
        <v>125.32161196577248</v>
      </c>
      <c r="O13" s="209">
        <f ca="1">Constants!$D$19+Constants!$D$19*Constants!$C$20/100*(N13-25)</f>
        <v>133.00672364305646</v>
      </c>
      <c r="P13" s="208">
        <f ca="1">(1-Constants!$C$17/1000000000*Design!$B$32*1000000) * ($B13+D13-C13*O13/1000) - (D13+C13*(1+($A13-25)*Constants!$C$31/100)*IF(ISBLANK(Design!$B$40),Constants!$C$6/1000,Design!$B$40/1000))</f>
        <v>8.2927411383364653</v>
      </c>
      <c r="Q13" s="214">
        <f ca="1">IF(P13&gt;Design!$C$28,Design!$C$28,P13)</f>
        <v>3.3239005736137672</v>
      </c>
      <c r="R13" s="224">
        <f>2*Design!$D$6/3</f>
        <v>2.3333333333333335</v>
      </c>
      <c r="S13" s="159">
        <f ca="1">FORECAST(R13, OFFSET(Design!$C$15:$C$17,MATCH(R13,Design!$B$15:$B$17,1)-1,0,2), OFFSET(Design!$B$15:$B$17,MATCH(R13,Design!$B$15:$B$17,1)-1,0,2))+(AB13-25)*Design!$B$18/1000</f>
        <v>0.37664108959987452</v>
      </c>
      <c r="T13" s="225">
        <f ca="1">IF(100*(Design!$C$28+S13+R13*IF(ISBLANK(Design!$B$40),Constants!$C$6,Design!$B$40)/1000*(1+Constants!$C$31/100*(AC13-25)))/($B13+S13-R13*AD13/1000)&gt;Design!$C$35,Design!$C$35,100*(Design!$C$28+S13+R13*IF(ISBLANK(Design!$B$40),Constants!$C$6,Design!$B$40)/1000*(1+Constants!$C$31/100*(AC13-25)))/($B13+S13-R13*AD13/1000))</f>
        <v>36.733523386612688</v>
      </c>
      <c r="U13" s="160">
        <f ca="1">IF(($B13-R13*IF(ISBLANK(Design!$B$40),Constants!$C$6,Design!$B$40)/1000*(1+Constants!$C$31/100*(AC13-25))-Design!$C$28)/(Design!$B$39/1000000)*T13/100/(IF(ISBLANK(IF(ISBLANK(Design!$B$39),Design!$B$38,Design!$B$39)),Design!$B$31,Design!$B$32)*1000000)&lt;0,0,($B13-R13*IF(ISBLANK(Design!$B$40),Constants!$C$6,Design!$B$40)/1000*(1+Constants!$C$31/100*(AC13-25))-Design!$C$28)/(IF(ISBLANK(Design!$B$39),Design!$B$38,Design!$B$39)/1000000)*T13/100/(IF(ISBLANK(Design!$B$32),Design!$B$31,Design!$B$32)*1000000))</f>
        <v>0.56513171824233366</v>
      </c>
      <c r="V13" s="226">
        <f>$B13*Constants!$C$18/1000+IF(ISBLANK(Design!$B$32),Design!$B$31,Design!$B$32)*1000000*Constants!$D$22/1000000000*($B13-Constants!$C$21)</f>
        <v>8.2015000000000018E-2</v>
      </c>
      <c r="W13" s="226">
        <f>$B13*R13*($B13/(Constants!$C$23*1000000000)*IF(ISBLANK(Design!$B$32),Design!$B$31,Design!$B$32)*1000000/2+$B13/(Constants!$C$24*1000000000)*IF(ISBLANK(Design!$B$32),Design!$B$31,Design!$B$32)*1000000/2)</f>
        <v>0.29097860855263163</v>
      </c>
      <c r="X13" s="226">
        <f t="shared" ca="1" si="2"/>
        <v>0.24910414424756888</v>
      </c>
      <c r="Y13" s="226">
        <f>Constants!$D$22/1000000000*Constants!$C$21*IF(ISBLANK(Design!$B$32),Design!$B$31,Design!$B$32)*1000000</f>
        <v>4.9999999999999996E-2</v>
      </c>
      <c r="Z13" s="226">
        <f t="shared" ca="1" si="10"/>
        <v>0.67209775280020057</v>
      </c>
      <c r="AA13" s="226">
        <f t="shared" ca="1" si="7"/>
        <v>0.55600427602559421</v>
      </c>
      <c r="AB13" s="227">
        <f ca="1">$A13+AA13*Design!$B$19</f>
        <v>116.69224373345887</v>
      </c>
      <c r="AC13" s="227">
        <f ca="1">Z13*Design!$C$12+$A13</f>
        <v>107.85132359520682</v>
      </c>
      <c r="AD13" s="227">
        <f ca="1">Constants!$D$19+Constants!$D$19*Constants!$C$20/100*(AC13-25)</f>
        <v>123.95012615175523</v>
      </c>
      <c r="AE13" s="226">
        <f ca="1">(1-Constants!$C$17/1000000000*Design!$B$32*1000000) * ($B13+S13-R13*AD13/1000) - (S13+R13*(1+($A13-25)*Constants!$C$31/100)*IF(ISBLANK(Design!$B$40),Constants!$C$6/1000,Design!$B$40/1000))</f>
        <v>8.4765972355972874</v>
      </c>
      <c r="AF13" s="160">
        <f ca="1">IF(AE13&gt;Design!$C$28,Design!$C$28,AE13)</f>
        <v>3.3239005736137672</v>
      </c>
      <c r="AG13" s="161">
        <f>Design!$D$6/3</f>
        <v>1.1666666666666667</v>
      </c>
      <c r="AH13" s="161">
        <f ca="1">FORECAST(AG13, OFFSET(Design!$C$15:$C$17,MATCH(AG13,Design!$B$15:$B$17,1)-1,0,2), OFFSET(Design!$B$15:$B$17,MATCH(AG13,Design!$B$15:$B$17,1)-1,0,2))+(AQ13-25)*Design!$B$18/1000</f>
        <v>0.32140936040521256</v>
      </c>
      <c r="AI13" s="239">
        <f ca="1">IF(100*(Design!$C$28+AH13+AG13*IF(ISBLANK(Design!$B$40),Constants!$C$6,Design!$B$40)/1000*(1+Constants!$C$31/100*(AR13-25)))/($B13+AH13-AG13*AS13/1000)&gt;Design!$C$35,Design!$C$35,100*(Design!$C$28+AH13+AG13*IF(ISBLANK(Design!$B$40),Constants!$C$6,Design!$B$40)/1000*(1+Constants!$C$31/100*(AR13-25)))/($B13+AH13-AG13*AS13/1000))</f>
        <v>35.547844783348971</v>
      </c>
      <c r="AJ13" s="162">
        <f ca="1">IF(($B13-AG13*IF(ISBLANK(Design!$B$40),Constants!$C$6,Design!$B$40)/1000*(1+Constants!$C$31/100*(AR13-25))-Design!$C$28)/(IF(ISBLANK(Design!$B$39),Design!$B$38,Design!$B$39)/1000000)*AI13/100/(IF(ISBLANK(Design!$B$32),Design!$B$31,Design!$B$32)*1000000)&lt;0,0,($B13-AG13*IF(ISBLANK(Design!$B$40),Constants!$C$6,Design!$B$40)/1000*(1+Constants!$C$31/100*(AR13-25))-Design!$C$28)/(IF(ISBLANK(Design!$B$39),Design!$B$38,Design!$B$39)/1000000)*AI13/100/(IF(ISBLANK(Design!$B$32),Design!$B$31,Design!$B$32)*1000000))</f>
        <v>0.5494741504875249</v>
      </c>
      <c r="AK13" s="240">
        <f>$B13*Constants!$C$18/1000+IF(ISBLANK(Design!$B$32),Design!$B$31,Design!$B$32)*1000000*Constants!$D$22/1000000000*($B13-Constants!$C$21)</f>
        <v>8.2015000000000018E-2</v>
      </c>
      <c r="AL13" s="240">
        <f>$B13*AG13*($B13/(Constants!$C$23*1000000000)*IF(ISBLANK(Design!$B$32),Design!$B$31,Design!$B$32)*1000000/2+$B13/(Constants!$C$24*1000000000)*IF(ISBLANK(Design!$B$32),Design!$B$31,Design!$B$32)*1000000/2)</f>
        <v>0.14548930427631582</v>
      </c>
      <c r="AM13" s="240">
        <f t="shared" ca="1" si="3"/>
        <v>5.8159156568580235E-2</v>
      </c>
      <c r="AN13" s="240">
        <f>Constants!$D$22/1000000000*Constants!$C$21*IF(ISBLANK(Design!$B$32),Design!$B$31,Design!$B$32)*1000000</f>
        <v>4.9999999999999996E-2</v>
      </c>
      <c r="AO13" s="240">
        <f t="shared" ca="1" si="11"/>
        <v>0.33566346084489607</v>
      </c>
      <c r="AP13" s="240">
        <f t="shared" ca="1" si="9"/>
        <v>0.24168113649074843</v>
      </c>
      <c r="AQ13" s="241">
        <f ca="1">$A13+AP13*Design!$B$19</f>
        <v>98.775824779972666</v>
      </c>
      <c r="AR13" s="241">
        <f ca="1">AO13*Design!$C$12+$A13</f>
        <v>96.412557668726464</v>
      </c>
      <c r="AS13" s="241">
        <f ca="1">Constants!$D$19+Constants!$D$19*Constants!$C$20/100*(AR13-25)</f>
        <v>118.02026989546781</v>
      </c>
      <c r="AT13" s="240">
        <f ca="1">(1-Constants!$C$17/1000000000*Design!$B$32*1000000) * ($B13+AH13-AG13*AS13/1000) - (AH13+AG13*(1+($A13-25)*Constants!$C$31/100)*IF(ISBLANK(Design!$B$40),Constants!$C$6/1000,Design!$B$40/1000))</f>
        <v>8.6444408758700888</v>
      </c>
      <c r="AU13" s="162">
        <f ca="1">IF(AT13&gt;Design!$C$28,Design!$C$28,AT13)</f>
        <v>3.3239005736137672</v>
      </c>
    </row>
    <row r="14" spans="1:47" s="163" customFormat="1" ht="12.75" customHeight="1">
      <c r="A14" s="155">
        <f>Design!$D$13</f>
        <v>85</v>
      </c>
      <c r="B14" s="156">
        <f t="shared" si="0"/>
        <v>9.9500000000000011</v>
      </c>
      <c r="C14" s="157">
        <f>Design!$D$6</f>
        <v>3.5</v>
      </c>
      <c r="D14" s="157">
        <f ca="1">FORECAST(C14, OFFSET(Design!$C$15:$C$17,MATCH(C14,Design!$B$15:$B$17,1)-1,0,2), OFFSET(Design!$B$15:$B$17,MATCH(C14,Design!$B$15:$B$17,1)-1,0,2))+(M14-25)*Design!$B$18/1000</f>
        <v>0.38975418508014581</v>
      </c>
      <c r="E14" s="216">
        <f ca="1">IF(100*(Design!$C$28+D14+C14*IF(ISBLANK(Design!$B$40),Constants!$C$6,Design!$B$40)/1000*(1+Constants!$C$31/100*(N14-25)))/($B14+D14-C14*O14/1000)&gt;Design!$C$35,Design!$C$35,100*(Design!$C$28+D14+C14*IF(ISBLANK(Design!$B$40),Constants!$C$6,Design!$B$40)/1000*(1+Constants!$C$31/100*(N14-25)))/($B14+D14-C14*O14/1000))</f>
        <v>38.59529871814906</v>
      </c>
      <c r="F14" s="158">
        <f ca="1">IF(($B14-C14*IF(ISBLANK(Design!$B$40),Constants!$C$6,Design!$B$40)/1000*(1+Constants!$C$31/100*(N14-25))-Design!$C$28)/(IF(ISBLANK(Design!$B$39),Design!$B$38,Design!$B$39)/1000000)*E14/100/(IF(ISBLANK(Design!$B$32),Design!$B$31,Design!$B$32)*1000000)&lt;0, 0, ($B14-C14*IF(ISBLANK(Design!$B$40),Constants!$C$6,Design!$B$40)/1000*(1+Constants!$C$31/100*(N14-25))-Design!$C$28)/(IF(ISBLANK(Design!$B$39),Design!$B$38,Design!$B$39)/1000000)*E14/100/(IF(ISBLANK(Design!$B$32),Design!$B$31,Design!$B$32)*1000000))</f>
        <v>0.57266436986653324</v>
      </c>
      <c r="G14" s="208">
        <f>B14*Constants!$C$18/1000+IF(ISBLANK(Design!$B$32),Design!$B$31,Design!$B$32)*1000000*Constants!$D$22/1000000000*(B14-Constants!$C$21)</f>
        <v>7.9350000000000004E-2</v>
      </c>
      <c r="H14" s="208">
        <f>B14*C14*(B14/(Constants!$C$23*1000000000)*IF(ISBLANK(Design!$B$32),Design!$B$31,Design!$B$32)*1000000/2+B14/(Constants!$C$24*1000000000)*IF(ISBLANK(Design!$B$32),Design!$B$31,Design!$B$32)*1000000/2)</f>
        <v>0.41902373903508783</v>
      </c>
      <c r="I14" s="208">
        <f t="shared" ca="1" si="1"/>
        <v>0.62958267277978364</v>
      </c>
      <c r="J14" s="208">
        <f>Constants!$D$22/1000000000*Constants!$C$21*IF(ISBLANK(Design!$B$32),Design!$B$31,Design!$B$32)*1000000</f>
        <v>4.9999999999999996E-2</v>
      </c>
      <c r="K14" s="208">
        <f t="shared" ca="1" si="4"/>
        <v>1.1779564118148715</v>
      </c>
      <c r="L14" s="208">
        <f t="shared" ca="1" si="5"/>
        <v>0.83764587578691585</v>
      </c>
      <c r="M14" s="209">
        <f ca="1">A14+L14*Design!$B$19</f>
        <v>132.74581491985421</v>
      </c>
      <c r="N14" s="209">
        <f ca="1">K14*Design!$C$12+A14</f>
        <v>125.05051800170563</v>
      </c>
      <c r="O14" s="209">
        <f ca="1">Constants!$D$19+Constants!$D$19*Constants!$C$20/100*(N14-25)</f>
        <v>132.86618853208421</v>
      </c>
      <c r="P14" s="208">
        <f ca="1">(1-Constants!$C$17/1000000000*Design!$B$32*1000000) * ($B14+D14-C14*O14/1000) - (D14+C14*(1+($A14-25)*Constants!$C$31/100)*IF(ISBLANK(Design!$B$40),Constants!$C$6/1000,Design!$B$40/1000))</f>
        <v>8.1147484118593844</v>
      </c>
      <c r="Q14" s="214">
        <f ca="1">IF(P14&gt;Design!$C$28,Design!$C$28,P14)</f>
        <v>3.3239005736137672</v>
      </c>
      <c r="R14" s="224">
        <f>2*Design!$D$6/3</f>
        <v>2.3333333333333335</v>
      </c>
      <c r="S14" s="159">
        <f ca="1">FORECAST(R14, OFFSET(Design!$C$15:$C$17,MATCH(R14,Design!$B$15:$B$17,1)-1,0,2), OFFSET(Design!$B$15:$B$17,MATCH(R14,Design!$B$15:$B$17,1)-1,0,2))+(AB14-25)*Design!$B$18/1000</f>
        <v>0.37698809915503573</v>
      </c>
      <c r="T14" s="225">
        <f ca="1">IF(100*(Design!$C$28+S14+R14*IF(ISBLANK(Design!$B$40),Constants!$C$6,Design!$B$40)/1000*(1+Constants!$C$31/100*(AC14-25)))/($B14+S14-R14*AD14/1000)&gt;Design!$C$35,Design!$C$35,100*(Design!$C$28+S14+R14*IF(ISBLANK(Design!$B$40),Constants!$C$6,Design!$B$40)/1000*(1+Constants!$C$31/100*(AC14-25)))/($B14+S14-R14*AD14/1000))</f>
        <v>37.483848164798175</v>
      </c>
      <c r="U14" s="160">
        <f ca="1">IF(($B14-R14*IF(ISBLANK(Design!$B$40),Constants!$C$6,Design!$B$40)/1000*(1+Constants!$C$31/100*(AC14-25))-Design!$C$28)/(Design!$B$39/1000000)*T14/100/(IF(ISBLANK(IF(ISBLANK(Design!$B$39),Design!$B$38,Design!$B$39)),Design!$B$31,Design!$B$32)*1000000)&lt;0,0,($B14-R14*IF(ISBLANK(Design!$B$40),Constants!$C$6,Design!$B$40)/1000*(1+Constants!$C$31/100*(AC14-25))-Design!$C$28)/(IF(ISBLANK(Design!$B$39),Design!$B$38,Design!$B$39)/1000000)*T14/100/(IF(ISBLANK(Design!$B$32),Design!$B$31,Design!$B$32)*1000000))</f>
        <v>0.55921621082385053</v>
      </c>
      <c r="V14" s="226">
        <f>$B14*Constants!$C$18/1000+IF(ISBLANK(Design!$B$32),Design!$B$31,Design!$B$32)*1000000*Constants!$D$22/1000000000*($B14-Constants!$C$21)</f>
        <v>7.9350000000000004E-2</v>
      </c>
      <c r="W14" s="226">
        <f>$B14*R14*($B14/(Constants!$C$23*1000000000)*IF(ISBLANK(Design!$B$32),Design!$B$31,Design!$B$32)*1000000/2+$B14/(Constants!$C$24*1000000000)*IF(ISBLANK(Design!$B$32),Design!$B$31,Design!$B$32)*1000000/2)</f>
        <v>0.27934915935672527</v>
      </c>
      <c r="X14" s="226">
        <f t="shared" ca="1" si="2"/>
        <v>0.25382045792664409</v>
      </c>
      <c r="Y14" s="226">
        <f>Constants!$D$22/1000000000*Constants!$C$21*IF(ISBLANK(Design!$B$32),Design!$B$31,Design!$B$32)*1000000</f>
        <v>4.9999999999999996E-2</v>
      </c>
      <c r="Z14" s="226">
        <f t="shared" ca="1" si="10"/>
        <v>0.66251961728336939</v>
      </c>
      <c r="AA14" s="226">
        <f t="shared" ca="1" si="7"/>
        <v>0.54991638909294116</v>
      </c>
      <c r="AB14" s="227">
        <f ca="1">$A14+AA14*Design!$B$19</f>
        <v>116.34523417829764</v>
      </c>
      <c r="AC14" s="227">
        <f ca="1">Z14*Design!$C$12+$A14</f>
        <v>107.52566698763457</v>
      </c>
      <c r="AD14" s="227">
        <f ca="1">Constants!$D$19+Constants!$D$19*Constants!$C$20/100*(AC14-25)</f>
        <v>123.78130576638976</v>
      </c>
      <c r="AE14" s="226">
        <f ca="1">(1-Constants!$C$17/1000000000*Design!$B$32*1000000) * ($B14+S14-R14*AD14/1000) - (S14+R14*(1+($A14-25)*Constants!$C$31/100)*IF(ISBLANK(Design!$B$40),Constants!$C$6/1000,Design!$B$40/1000))</f>
        <v>8.2985448297374074</v>
      </c>
      <c r="AF14" s="160">
        <f ca="1">IF(AE14&gt;Design!$C$28,Design!$C$28,AE14)</f>
        <v>3.3239005736137672</v>
      </c>
      <c r="AG14" s="161">
        <f>Design!$D$6/3</f>
        <v>1.1666666666666667</v>
      </c>
      <c r="AH14" s="161">
        <f ca="1">FORECAST(AG14, OFFSET(Design!$C$15:$C$17,MATCH(AG14,Design!$B$15:$B$17,1)-1,0,2), OFFSET(Design!$B$15:$B$17,MATCH(AG14,Design!$B$15:$B$17,1)-1,0,2))+(AQ14-25)*Design!$B$18/1000</f>
        <v>0.32155684468644929</v>
      </c>
      <c r="AI14" s="239">
        <f ca="1">IF(100*(Design!$C$28+AH14+AG14*IF(ISBLANK(Design!$B$40),Constants!$C$6,Design!$B$40)/1000*(1+Constants!$C$31/100*(AR14-25)))/($B14+AH14-AG14*AS14/1000)&gt;Design!$C$35,Design!$C$35,100*(Design!$C$28+AH14+AG14*IF(ISBLANK(Design!$B$40),Constants!$C$6,Design!$B$40)/1000*(1+Constants!$C$31/100*(AR14-25)))/($B14+AH14-AG14*AS14/1000))</f>
        <v>36.267115909585129</v>
      </c>
      <c r="AJ14" s="162">
        <f ca="1">IF(($B14-AG14*IF(ISBLANK(Design!$B$40),Constants!$C$6,Design!$B$40)/1000*(1+Constants!$C$31/100*(AR14-25))-Design!$C$28)/(IF(ISBLANK(Design!$B$39),Design!$B$38,Design!$B$39)/1000000)*AI14/100/(IF(ISBLANK(Design!$B$32),Design!$B$31,Design!$B$32)*1000000)&lt;0,0,($B14-AG14*IF(ISBLANK(Design!$B$40),Constants!$C$6,Design!$B$40)/1000*(1+Constants!$C$31/100*(AR14-25))-Design!$C$28)/(IF(ISBLANK(Design!$B$39),Design!$B$38,Design!$B$39)/1000000)*AI14/100/(IF(ISBLANK(Design!$B$32),Design!$B$31,Design!$B$32)*1000000))</f>
        <v>0.54369686951827123</v>
      </c>
      <c r="AK14" s="240">
        <f>$B14*Constants!$C$18/1000+IF(ISBLANK(Design!$B$32),Design!$B$31,Design!$B$32)*1000000*Constants!$D$22/1000000000*($B14-Constants!$C$21)</f>
        <v>7.9350000000000004E-2</v>
      </c>
      <c r="AL14" s="240">
        <f>$B14*AG14*($B14/(Constants!$C$23*1000000000)*IF(ISBLANK(Design!$B$32),Design!$B$31,Design!$B$32)*1000000/2+$B14/(Constants!$C$24*1000000000)*IF(ISBLANK(Design!$B$32),Design!$B$31,Design!$B$32)*1000000/2)</f>
        <v>0.13967457967836264</v>
      </c>
      <c r="AM14" s="240">
        <f t="shared" ca="1" si="3"/>
        <v>5.9247946039311175E-2</v>
      </c>
      <c r="AN14" s="240">
        <f>Constants!$D$22/1000000000*Constants!$C$21*IF(ISBLANK(Design!$B$32),Design!$B$31,Design!$B$32)*1000000</f>
        <v>4.9999999999999996E-2</v>
      </c>
      <c r="AO14" s="240">
        <f t="shared" ca="1" si="11"/>
        <v>0.32827252571767379</v>
      </c>
      <c r="AP14" s="240">
        <f t="shared" ca="1" si="9"/>
        <v>0.23909369296027846</v>
      </c>
      <c r="AQ14" s="241">
        <f ca="1">$A14+AP14*Design!$B$19</f>
        <v>98.628340498735867</v>
      </c>
      <c r="AR14" s="241">
        <f ca="1">AO14*Design!$C$12+$A14</f>
        <v>96.161265874400911</v>
      </c>
      <c r="AS14" s="241">
        <f ca="1">Constants!$D$19+Constants!$D$19*Constants!$C$20/100*(AR14-25)</f>
        <v>117.89000022928944</v>
      </c>
      <c r="AT14" s="240">
        <f ca="1">(1-Constants!$C$17/1000000000*Design!$B$32*1000000) * ($B14+AH14-AG14*AS14/1000) - (AH14+AG14*(1+($A14-25)*Constants!$C$31/100)*IF(ISBLANK(Design!$B$40),Constants!$C$6/1000,Design!$B$40/1000))</f>
        <v>8.4662039266247007</v>
      </c>
      <c r="AU14" s="162">
        <f ca="1">IF(AT14&gt;Design!$C$28,Design!$C$28,AT14)</f>
        <v>3.3239005736137672</v>
      </c>
    </row>
    <row r="15" spans="1:47" s="163" customFormat="1" ht="12.75" customHeight="1">
      <c r="A15" s="155">
        <f>Design!$D$13</f>
        <v>85</v>
      </c>
      <c r="B15" s="156">
        <f t="shared" si="0"/>
        <v>9.745000000000001</v>
      </c>
      <c r="C15" s="157">
        <f>Design!$D$6</f>
        <v>3.5</v>
      </c>
      <c r="D15" s="157">
        <f ca="1">FORECAST(C15, OFFSET(Design!$C$15:$C$17,MATCH(C15,Design!$B$15:$B$17,1)-1,0,2), OFFSET(Design!$B$15:$B$17,MATCH(C15,Design!$B$15:$B$17,1)-1,0,2))+(M15-25)*Design!$B$18/1000</f>
        <v>0.39032257522402913</v>
      </c>
      <c r="E15" s="216">
        <f ca="1">IF(100*(Design!$C$28+D15+C15*IF(ISBLANK(Design!$B$40),Constants!$C$6,Design!$B$40)/1000*(1+Constants!$C$31/100*(N15-25)))/($B15+D15-C15*O15/1000)&gt;Design!$C$35,Design!$C$35,100*(Design!$C$28+D15+C15*IF(ISBLANK(Design!$B$40),Constants!$C$6,Design!$B$40)/1000*(1+Constants!$C$31/100*(N15-25)))/($B15+D15-C15*O15/1000))</f>
        <v>39.414644530021576</v>
      </c>
      <c r="F15" s="158">
        <f ca="1">IF(($B15-C15*IF(ISBLANK(Design!$B$40),Constants!$C$6,Design!$B$40)/1000*(1+Constants!$C$31/100*(N15-25))-Design!$C$28)/(IF(ISBLANK(Design!$B$39),Design!$B$38,Design!$B$39)/1000000)*E15/100/(IF(ISBLANK(Design!$B$32),Design!$B$31,Design!$B$32)*1000000)&lt;0, 0, ($B15-C15*IF(ISBLANK(Design!$B$40),Constants!$C$6,Design!$B$40)/1000*(1+Constants!$C$31/100*(N15-25))-Design!$C$28)/(IF(ISBLANK(Design!$B$39),Design!$B$38,Design!$B$39)/1000000)*E15/100/(IF(ISBLANK(Design!$B$32),Design!$B$31,Design!$B$32)*1000000))</f>
        <v>0.56646379229089638</v>
      </c>
      <c r="G15" s="208">
        <f>B15*Constants!$C$18/1000+IF(ISBLANK(Design!$B$32),Design!$B$31,Design!$B$32)*1000000*Constants!$D$22/1000000000*(B15-Constants!$C$21)</f>
        <v>7.6685000000000017E-2</v>
      </c>
      <c r="H15" s="208">
        <f>B15*C15*(B15/(Constants!$C$23*1000000000)*IF(ISBLANK(Design!$B$32),Design!$B$31,Design!$B$32)*1000000/2+B15/(Constants!$C$24*1000000000)*IF(ISBLANK(Design!$B$32),Design!$B$31,Design!$B$32)*1000000/2)</f>
        <v>0.40193530317982462</v>
      </c>
      <c r="I15" s="208">
        <f t="shared" ca="1" si="1"/>
        <v>0.6423188794247694</v>
      </c>
      <c r="J15" s="208">
        <f>Constants!$D$22/1000000000*Constants!$C$21*IF(ISBLANK(Design!$B$32),Design!$B$31,Design!$B$32)*1000000</f>
        <v>4.9999999999999996E-2</v>
      </c>
      <c r="K15" s="208">
        <f t="shared" ca="1" si="4"/>
        <v>1.1709391826045941</v>
      </c>
      <c r="L15" s="208">
        <f t="shared" ca="1" si="5"/>
        <v>0.82767411887668207</v>
      </c>
      <c r="M15" s="209">
        <f ca="1">A15+L15*Design!$B$19</f>
        <v>132.17742477597088</v>
      </c>
      <c r="N15" s="209">
        <f ca="1">K15*Design!$C$12+A15</f>
        <v>124.8119322085562</v>
      </c>
      <c r="O15" s="209">
        <f ca="1">Constants!$D$19+Constants!$D$19*Constants!$C$20/100*(N15-25)</f>
        <v>132.74250565691554</v>
      </c>
      <c r="P15" s="208">
        <f ca="1">(1-Constants!$C$17/1000000000*Design!$B$32*1000000) * ($B15+D15-C15*O15/1000) - (D15+C15*(1+($A15-25)*Constants!$C$31/100)*IF(ISBLANK(Design!$B$40),Constants!$C$6/1000,Design!$B$40/1000))</f>
        <v>7.9367011354955697</v>
      </c>
      <c r="Q15" s="214">
        <f ca="1">IF(P15&gt;Design!$C$28,Design!$C$28,P15)</f>
        <v>3.3239005736137672</v>
      </c>
      <c r="R15" s="224">
        <f>2*Design!$D$6/3</f>
        <v>2.3333333333333335</v>
      </c>
      <c r="S15" s="159">
        <f ca="1">FORECAST(R15, OFFSET(Design!$C$15:$C$17,MATCH(R15,Design!$B$15:$B$17,1)-1,0,2), OFFSET(Design!$B$15:$B$17,MATCH(R15,Design!$B$15:$B$17,1)-1,0,2))+(AB15-25)*Design!$B$18/1000</f>
        <v>0.37735029545392806</v>
      </c>
      <c r="T15" s="225">
        <f ca="1">IF(100*(Design!$C$28+S15+R15*IF(ISBLANK(Design!$B$40),Constants!$C$6,Design!$B$40)/1000*(1+Constants!$C$31/100*(AC15-25)))/($B15+S15-R15*AD15/1000)&gt;Design!$C$35,Design!$C$35,100*(Design!$C$28+S15+R15*IF(ISBLANK(Design!$B$40),Constants!$C$6,Design!$B$40)/1000*(1+Constants!$C$31/100*(AC15-25)))/($B15+S15-R15*AD15/1000))</f>
        <v>38.265538723012241</v>
      </c>
      <c r="U15" s="160">
        <f ca="1">IF(($B15-R15*IF(ISBLANK(Design!$B$40),Constants!$C$6,Design!$B$40)/1000*(1+Constants!$C$31/100*(AC15-25))-Design!$C$28)/(Design!$B$39/1000000)*T15/100/(IF(ISBLANK(IF(ISBLANK(Design!$B$39),Design!$B$38,Design!$B$39)),Design!$B$31,Design!$B$32)*1000000)&lt;0,0,($B15-R15*IF(ISBLANK(Design!$B$40),Constants!$C$6,Design!$B$40)/1000*(1+Constants!$C$31/100*(AC15-25))-Design!$C$28)/(IF(ISBLANK(Design!$B$39),Design!$B$38,Design!$B$39)/1000000)*T15/100/(IF(ISBLANK(Design!$B$32),Design!$B$31,Design!$B$32)*1000000))</f>
        <v>0.5530548289495214</v>
      </c>
      <c r="V15" s="226">
        <f>$B15*Constants!$C$18/1000+IF(ISBLANK(Design!$B$32),Design!$B$31,Design!$B$32)*1000000*Constants!$D$22/1000000000*($B15-Constants!$C$21)</f>
        <v>7.6685000000000017E-2</v>
      </c>
      <c r="W15" s="226">
        <f>$B15*R15*($B15/(Constants!$C$23*1000000000)*IF(ISBLANK(Design!$B$32),Design!$B$31,Design!$B$32)*1000000/2+$B15/(Constants!$C$24*1000000000)*IF(ISBLANK(Design!$B$32),Design!$B$31,Design!$B$32)*1000000/2)</f>
        <v>0.26795686878654978</v>
      </c>
      <c r="X15" s="226">
        <f t="shared" ca="1" si="2"/>
        <v>0.25874984799336664</v>
      </c>
      <c r="Y15" s="226">
        <f>Constants!$D$22/1000000000*Constants!$C$21*IF(ISBLANK(Design!$B$32),Design!$B$31,Design!$B$32)*1000000</f>
        <v>4.9999999999999996E-2</v>
      </c>
      <c r="Z15" s="226">
        <f t="shared" ca="1" si="10"/>
        <v>0.65339171677991648</v>
      </c>
      <c r="AA15" s="226">
        <f t="shared" ca="1" si="7"/>
        <v>0.54356206805974305</v>
      </c>
      <c r="AB15" s="227">
        <f ca="1">$A15+AA15*Design!$B$19</f>
        <v>115.98303787940536</v>
      </c>
      <c r="AC15" s="227">
        <f ca="1">Z15*Design!$C$12+$A15</f>
        <v>107.21531837051717</v>
      </c>
      <c r="AD15" s="227">
        <f ca="1">Constants!$D$19+Constants!$D$19*Constants!$C$20/100*(AC15-25)</f>
        <v>123.62042104327611</v>
      </c>
      <c r="AE15" s="226">
        <f ca="1">(1-Constants!$C$17/1000000000*Design!$B$32*1000000) * ($B15+S15-R15*AD15/1000) - (S15+R15*(1+($A15-25)*Constants!$C$31/100)*IF(ISBLANK(Design!$B$40),Constants!$C$6/1000,Design!$B$40/1000))</f>
        <v>8.1204743402064743</v>
      </c>
      <c r="AF15" s="160">
        <f ca="1">IF(AE15&gt;Design!$C$28,Design!$C$28,AE15)</f>
        <v>3.3239005736137672</v>
      </c>
      <c r="AG15" s="161">
        <f>Design!$D$6/3</f>
        <v>1.1666666666666667</v>
      </c>
      <c r="AH15" s="161">
        <f ca="1">FORECAST(AG15, OFFSET(Design!$C$15:$C$17,MATCH(AG15,Design!$B$15:$B$17,1)-1,0,2), OFFSET(Design!$B$15:$B$17,MATCH(AG15,Design!$B$15:$B$17,1)-1,0,2))+(AQ15-25)*Design!$B$18/1000</f>
        <v>0.32171056564927786</v>
      </c>
      <c r="AI15" s="239">
        <f ca="1">IF(100*(Design!$C$28+AH15+AG15*IF(ISBLANK(Design!$B$40),Constants!$C$6,Design!$B$40)/1000*(1+Constants!$C$31/100*(AR15-25)))/($B15+AH15-AG15*AS15/1000)&gt;Design!$C$35,Design!$C$35,100*(Design!$C$28+AH15+AG15*IF(ISBLANK(Design!$B$40),Constants!$C$6,Design!$B$40)/1000*(1+Constants!$C$31/100*(AR15-25)))/($B15+AH15-AG15*AS15/1000))</f>
        <v>37.01610101804507</v>
      </c>
      <c r="AJ15" s="162">
        <f ca="1">IF(($B15-AG15*IF(ISBLANK(Design!$B$40),Constants!$C$6,Design!$B$40)/1000*(1+Constants!$C$31/100*(AR15-25))-Design!$C$28)/(IF(ISBLANK(Design!$B$39),Design!$B$38,Design!$B$39)/1000000)*AI15/100/(IF(ISBLANK(Design!$B$32),Design!$B$31,Design!$B$32)*1000000)&lt;0,0,($B15-AG15*IF(ISBLANK(Design!$B$40),Constants!$C$6,Design!$B$40)/1000*(1+Constants!$C$31/100*(AR15-25))-Design!$C$28)/(IF(ISBLANK(Design!$B$39),Design!$B$38,Design!$B$39)/1000000)*AI15/100/(IF(ISBLANK(Design!$B$32),Design!$B$31,Design!$B$32)*1000000))</f>
        <v>0.53768100424846732</v>
      </c>
      <c r="AK15" s="240">
        <f>$B15*Constants!$C$18/1000+IF(ISBLANK(Design!$B$32),Design!$B$31,Design!$B$32)*1000000*Constants!$D$22/1000000000*($B15-Constants!$C$21)</f>
        <v>7.6685000000000017E-2</v>
      </c>
      <c r="AL15" s="240">
        <f>$B15*AG15*($B15/(Constants!$C$23*1000000000)*IF(ISBLANK(Design!$B$32),Design!$B$31,Design!$B$32)*1000000/2+$B15/(Constants!$C$24*1000000000)*IF(ISBLANK(Design!$B$32),Design!$B$31,Design!$B$32)*1000000/2)</f>
        <v>0.13397843439327489</v>
      </c>
      <c r="AM15" s="240">
        <f t="shared" ca="1" si="3"/>
        <v>6.0382562287912431E-2</v>
      </c>
      <c r="AN15" s="240">
        <f>Constants!$D$22/1000000000*Constants!$C$21*IF(ISBLANK(Design!$B$32),Design!$B$31,Design!$B$32)*1000000</f>
        <v>4.9999999999999996E-2</v>
      </c>
      <c r="AO15" s="240">
        <f t="shared" ca="1" si="11"/>
        <v>0.32104599668118733</v>
      </c>
      <c r="AP15" s="240">
        <f t="shared" ca="1" si="9"/>
        <v>0.23639683396328648</v>
      </c>
      <c r="AQ15" s="241">
        <f ca="1">$A15+AP15*Design!$B$19</f>
        <v>98.474619535907323</v>
      </c>
      <c r="AR15" s="241">
        <f ca="1">AO15*Design!$C$12+$A15</f>
        <v>95.915563887160374</v>
      </c>
      <c r="AS15" s="241">
        <f ca="1">Constants!$D$19+Constants!$D$19*Constants!$C$20/100*(AR15-25)</f>
        <v>117.76262831910395</v>
      </c>
      <c r="AT15" s="240">
        <f ca="1">(1-Constants!$C$17/1000000000*Design!$B$32*1000000) * ($B15+AH15-AG15*AS15/1000) - (AH15+AG15*(1+($A15-25)*Constants!$C$31/100)*IF(ISBLANK(Design!$B$40),Constants!$C$6/1000,Design!$B$40/1000))</f>
        <v>8.2879632253883706</v>
      </c>
      <c r="AU15" s="162">
        <f ca="1">IF(AT15&gt;Design!$C$28,Design!$C$28,AT15)</f>
        <v>3.3239005736137672</v>
      </c>
    </row>
    <row r="16" spans="1:47" s="163" customFormat="1" ht="12.75" customHeight="1">
      <c r="A16" s="155">
        <f>Design!$D$13</f>
        <v>85</v>
      </c>
      <c r="B16" s="156">
        <f t="shared" si="0"/>
        <v>9.5400000000000009</v>
      </c>
      <c r="C16" s="157">
        <f>Design!$D$6</f>
        <v>3.5</v>
      </c>
      <c r="D16" s="157">
        <f ca="1">FORECAST(C16, OFFSET(Design!$C$15:$C$17,MATCH(C16,Design!$B$15:$B$17,1)-1,0,2), OFFSET(Design!$B$15:$B$17,MATCH(C16,Design!$B$15:$B$17,1)-1,0,2))+(M16-25)*Design!$B$18/1000</f>
        <v>0.39091759970430701</v>
      </c>
      <c r="E16" s="216">
        <f ca="1">IF(100*(Design!$C$28+D16+C16*IF(ISBLANK(Design!$B$40),Constants!$C$6,Design!$B$40)/1000*(1+Constants!$C$31/100*(N16-25)))/($B16+D16-C16*O16/1000)&gt;Design!$C$35,Design!$C$35,100*(Design!$C$28+D16+C16*IF(ISBLANK(Design!$B$40),Constants!$C$6,Design!$B$40)/1000*(1+Constants!$C$31/100*(N16-25)))/($B16+D16-C16*O16/1000))</f>
        <v>40.269831543230758</v>
      </c>
      <c r="F16" s="158">
        <f ca="1">IF(($B16-C16*IF(ISBLANK(Design!$B$40),Constants!$C$6,Design!$B$40)/1000*(1+Constants!$C$31/100*(N16-25))-Design!$C$28)/(IF(ISBLANK(Design!$B$39),Design!$B$38,Design!$B$39)/1000000)*E16/100/(IF(ISBLANK(Design!$B$32),Design!$B$31,Design!$B$32)*1000000)&lt;0, 0, ($B16-C16*IF(ISBLANK(Design!$B$40),Constants!$C$6,Design!$B$40)/1000*(1+Constants!$C$31/100*(N16-25))-Design!$C$28)/(IF(ISBLANK(Design!$B$39),Design!$B$38,Design!$B$39)/1000000)*E16/100/(IF(ISBLANK(Design!$B$32),Design!$B$31,Design!$B$32)*1000000))</f>
        <v>0.5599975356367789</v>
      </c>
      <c r="G16" s="208">
        <f>B16*Constants!$C$18/1000+IF(ISBLANK(Design!$B$32),Design!$B$31,Design!$B$32)*1000000*Constants!$D$22/1000000000*(B16-Constants!$C$21)</f>
        <v>7.4020000000000016E-2</v>
      </c>
      <c r="H16" s="208">
        <f>B16*C16*(B16/(Constants!$C$23*1000000000)*IF(ISBLANK(Design!$B$32),Design!$B$31,Design!$B$32)*1000000/2+B16/(Constants!$C$24*1000000000)*IF(ISBLANK(Design!$B$32),Design!$B$31,Design!$B$32)*1000000/2)</f>
        <v>0.38520260526315792</v>
      </c>
      <c r="I16" s="208">
        <f t="shared" ca="1" si="1"/>
        <v>0.65569857704412171</v>
      </c>
      <c r="J16" s="208">
        <f>Constants!$D$22/1000000000*Constants!$C$21*IF(ISBLANK(Design!$B$32),Design!$B$31,Design!$B$32)*1000000</f>
        <v>4.9999999999999996E-2</v>
      </c>
      <c r="K16" s="208">
        <f t="shared" ca="1" si="4"/>
        <v>1.1649211823072798</v>
      </c>
      <c r="L16" s="208">
        <f t="shared" ca="1" si="5"/>
        <v>0.817235092906895</v>
      </c>
      <c r="M16" s="209">
        <f ca="1">A16+L16*Design!$B$19</f>
        <v>131.58240029569302</v>
      </c>
      <c r="N16" s="209">
        <f ca="1">K16*Design!$C$12+A16</f>
        <v>124.60732019844751</v>
      </c>
      <c r="O16" s="209">
        <f ca="1">Constants!$D$19+Constants!$D$19*Constants!$C$20/100*(N16-25)</f>
        <v>132.6364347908752</v>
      </c>
      <c r="P16" s="208">
        <f ca="1">(1-Constants!$C$17/1000000000*Design!$B$32*1000000) * ($B16+D16-C16*O16/1000) - (D16+C16*(1+($A16-25)*Constants!$C$31/100)*IF(ISBLANK(Design!$B$40),Constants!$C$6/1000,Design!$B$40/1000))</f>
        <v>7.7585967681002259</v>
      </c>
      <c r="Q16" s="214">
        <f ca="1">IF(P16&gt;Design!$C$28,Design!$C$28,P16)</f>
        <v>3.3239005736137672</v>
      </c>
      <c r="R16" s="224">
        <f>2*Design!$D$6/3</f>
        <v>2.3333333333333335</v>
      </c>
      <c r="S16" s="159">
        <f ca="1">FORECAST(R16, OFFSET(Design!$C$15:$C$17,MATCH(R16,Design!$B$15:$B$17,1)-1,0,2), OFFSET(Design!$B$15:$B$17,MATCH(R16,Design!$B$15:$B$17,1)-1,0,2))+(AB16-25)*Design!$B$18/1000</f>
        <v>0.37772869671565146</v>
      </c>
      <c r="T16" s="225">
        <f ca="1">IF(100*(Design!$C$28+S16+R16*IF(ISBLANK(Design!$B$40),Constants!$C$6,Design!$B$40)/1000*(1+Constants!$C$31/100*(AC16-25)))/($B16+S16-R16*AD16/1000)&gt;Design!$C$35,Design!$C$35,100*(Design!$C$28+S16+R16*IF(ISBLANK(Design!$B$40),Constants!$C$6,Design!$B$40)/1000*(1+Constants!$C$31/100*(AC16-25)))/($B16+S16-R16*AD16/1000))</f>
        <v>39.080601564611847</v>
      </c>
      <c r="U16" s="160">
        <f ca="1">IF(($B16-R16*IF(ISBLANK(Design!$B$40),Constants!$C$6,Design!$B$40)/1000*(1+Constants!$C$31/100*(AC16-25))-Design!$C$28)/(Design!$B$39/1000000)*T16/100/(IF(ISBLANK(IF(ISBLANK(Design!$B$39),Design!$B$38,Design!$B$39)),Design!$B$31,Design!$B$32)*1000000)&lt;0,0,($B16-R16*IF(ISBLANK(Design!$B$40),Constants!$C$6,Design!$B$40)/1000*(1+Constants!$C$31/100*(AC16-25))-Design!$C$28)/(IF(ISBLANK(Design!$B$39),Design!$B$38,Design!$B$39)/1000000)*T16/100/(IF(ISBLANK(Design!$B$32),Design!$B$31,Design!$B$32)*1000000))</f>
        <v>0.54663178674778667</v>
      </c>
      <c r="V16" s="226">
        <f>$B16*Constants!$C$18/1000+IF(ISBLANK(Design!$B$32),Design!$B$31,Design!$B$32)*1000000*Constants!$D$22/1000000000*($B16-Constants!$C$21)</f>
        <v>7.4020000000000016E-2</v>
      </c>
      <c r="W16" s="226">
        <f>$B16*R16*($B16/(Constants!$C$23*1000000000)*IF(ISBLANK(Design!$B$32),Design!$B$31,Design!$B$32)*1000000/2+$B16/(Constants!$C$24*1000000000)*IF(ISBLANK(Design!$B$32),Design!$B$31,Design!$B$32)*1000000/2)</f>
        <v>0.25680173684210533</v>
      </c>
      <c r="X16" s="226">
        <f t="shared" ca="1" si="2"/>
        <v>0.26390644019651111</v>
      </c>
      <c r="Y16" s="226">
        <f>Constants!$D$22/1000000000*Constants!$C$21*IF(ISBLANK(Design!$B$32),Design!$B$31,Design!$B$32)*1000000</f>
        <v>4.9999999999999996E-2</v>
      </c>
      <c r="Z16" s="226">
        <f t="shared" ca="1" si="10"/>
        <v>0.64472817703861651</v>
      </c>
      <c r="AA16" s="226">
        <f t="shared" ca="1" si="7"/>
        <v>0.53692344943301562</v>
      </c>
      <c r="AB16" s="227">
        <f ca="1">$A16+AA16*Design!$B$19</f>
        <v>115.60463661768189</v>
      </c>
      <c r="AC16" s="227">
        <f ca="1">Z16*Design!$C$12+$A16</f>
        <v>106.92075801931296</v>
      </c>
      <c r="AD16" s="227">
        <f ca="1">Constants!$D$19+Constants!$D$19*Constants!$C$20/100*(AC16-25)</f>
        <v>123.46772095721184</v>
      </c>
      <c r="AE16" s="226">
        <f ca="1">(1-Constants!$C$17/1000000000*Design!$B$32*1000000) * ($B16+S16-R16*AD16/1000) - (S16+R16*(1+($A16-25)*Constants!$C$31/100)*IF(ISBLANK(Design!$B$40),Constants!$C$6/1000,Design!$B$40/1000))</f>
        <v>7.9423851292171594</v>
      </c>
      <c r="AF16" s="160">
        <f ca="1">IF(AE16&gt;Design!$C$28,Design!$C$28,AE16)</f>
        <v>3.3239005736137672</v>
      </c>
      <c r="AG16" s="161">
        <f>Design!$D$6/3</f>
        <v>1.1666666666666667</v>
      </c>
      <c r="AH16" s="161">
        <f ca="1">FORECAST(AG16, OFFSET(Design!$C$15:$C$17,MATCH(AG16,Design!$B$15:$B$17,1)-1,0,2), OFFSET(Design!$B$15:$B$17,MATCH(AG16,Design!$B$15:$B$17,1)-1,0,2))+(AQ16-25)*Design!$B$18/1000</f>
        <v>0.32187092713041038</v>
      </c>
      <c r="AI16" s="239">
        <f ca="1">IF(100*(Design!$C$28+AH16+AG16*IF(ISBLANK(Design!$B$40),Constants!$C$6,Design!$B$40)/1000*(1+Constants!$C$31/100*(AR16-25)))/($B16+AH16-AG16*AS16/1000)&gt;Design!$C$35,Design!$C$35,100*(Design!$C$28+AH16+AG16*IF(ISBLANK(Design!$B$40),Constants!$C$6,Design!$B$40)/1000*(1+Constants!$C$31/100*(AR16-25)))/($B16+AH16-AG16*AS16/1000))</f>
        <v>37.79667874209737</v>
      </c>
      <c r="AJ16" s="162">
        <f ca="1">IF(($B16-AG16*IF(ISBLANK(Design!$B$40),Constants!$C$6,Design!$B$40)/1000*(1+Constants!$C$31/100*(AR16-25))-Design!$C$28)/(IF(ISBLANK(Design!$B$39),Design!$B$38,Design!$B$39)/1000000)*AI16/100/(IF(ISBLANK(Design!$B$32),Design!$B$31,Design!$B$32)*1000000)&lt;0,0,($B16-AG16*IF(ISBLANK(Design!$B$40),Constants!$C$6,Design!$B$40)/1000*(1+Constants!$C$31/100*(AR16-25))-Design!$C$28)/(IF(ISBLANK(Design!$B$39),Design!$B$38,Design!$B$39)/1000000)*AI16/100/(IF(ISBLANK(Design!$B$32),Design!$B$31,Design!$B$32)*1000000))</f>
        <v>0.53141143690077863</v>
      </c>
      <c r="AK16" s="240">
        <f>$B16*Constants!$C$18/1000+IF(ISBLANK(Design!$B$32),Design!$B$31,Design!$B$32)*1000000*Constants!$D$22/1000000000*($B16-Constants!$C$21)</f>
        <v>7.4020000000000016E-2</v>
      </c>
      <c r="AL16" s="240">
        <f>$B16*AG16*($B16/(Constants!$C$23*1000000000)*IF(ISBLANK(Design!$B$32),Design!$B$31,Design!$B$32)*1000000/2+$B16/(Constants!$C$24*1000000000)*IF(ISBLANK(Design!$B$32),Design!$B$31,Design!$B$32)*1000000/2)</f>
        <v>0.12840086842105267</v>
      </c>
      <c r="AM16" s="240">
        <f t="shared" ca="1" si="3"/>
        <v>6.1565902121840745E-2</v>
      </c>
      <c r="AN16" s="240">
        <f>Constants!$D$22/1000000000*Constants!$C$21*IF(ISBLANK(Design!$B$32),Design!$B$31,Design!$B$32)*1000000</f>
        <v>4.9999999999999996E-2</v>
      </c>
      <c r="AO16" s="240">
        <f t="shared" ca="1" si="11"/>
        <v>0.31398677054289342</v>
      </c>
      <c r="AP16" s="240">
        <f t="shared" ca="1" si="9"/>
        <v>0.23358347464517196</v>
      </c>
      <c r="AQ16" s="241">
        <f ca="1">$A16+AP16*Design!$B$19</f>
        <v>98.314258054774797</v>
      </c>
      <c r="AR16" s="241">
        <f ca="1">AO16*Design!$C$12+$A16</f>
        <v>95.675550198458382</v>
      </c>
      <c r="AS16" s="241">
        <f ca="1">Constants!$D$19+Constants!$D$19*Constants!$C$20/100*(AR16-25)</f>
        <v>117.63820522288083</v>
      </c>
      <c r="AT16" s="240">
        <f ca="1">(1-Constants!$C$17/1000000000*Design!$B$32*1000000) * ($B16+AH16-AG16*AS16/1000) - (AH16+AG16*(1+($A16-25)*Constants!$C$31/100)*IF(ISBLANK(Design!$B$40),Constants!$C$6/1000,Design!$B$40/1000))</f>
        <v>8.1097186678384912</v>
      </c>
      <c r="AU16" s="162">
        <f ca="1">IF(AT16&gt;Design!$C$28,Design!$C$28,AT16)</f>
        <v>3.3239005736137672</v>
      </c>
    </row>
    <row r="17" spans="1:47" s="163" customFormat="1" ht="12.75" customHeight="1">
      <c r="A17" s="155">
        <f>Design!$D$13</f>
        <v>85</v>
      </c>
      <c r="B17" s="156">
        <f t="shared" si="0"/>
        <v>9.3350000000000009</v>
      </c>
      <c r="C17" s="157">
        <f>Design!$D$6</f>
        <v>3.5</v>
      </c>
      <c r="D17" s="157">
        <f ca="1">FORECAST(C17, OFFSET(Design!$C$15:$C$17,MATCH(C17,Design!$B$15:$B$17,1)-1,0,2), OFFSET(Design!$B$15:$B$17,MATCH(C17,Design!$B$15:$B$17,1)-1,0,2))+(M17-25)*Design!$B$18/1000</f>
        <v>0.39154117820204043</v>
      </c>
      <c r="E17" s="216">
        <f ca="1">IF(100*(Design!$C$28+D17+C17*IF(ISBLANK(Design!$B$40),Constants!$C$6,Design!$B$40)/1000*(1+Constants!$C$31/100*(N17-25)))/($B17+D17-C17*O17/1000)&gt;Design!$C$35,Design!$C$35,100*(Design!$C$28+D17+C17*IF(ISBLANK(Design!$B$40),Constants!$C$6,Design!$B$40)/1000*(1+Constants!$C$31/100*(N17-25)))/($B17+D17-C17*O17/1000))</f>
        <v>41.16326790125985</v>
      </c>
      <c r="F17" s="158">
        <f ca="1">IF(($B17-C17*IF(ISBLANK(Design!$B$40),Constants!$C$6,Design!$B$40)/1000*(1+Constants!$C$31/100*(N17-25))-Design!$C$28)/(IF(ISBLANK(Design!$B$39),Design!$B$38,Design!$B$39)/1000000)*E17/100/(IF(ISBLANK(Design!$B$32),Design!$B$31,Design!$B$32)*1000000)&lt;0, 0, ($B17-C17*IF(ISBLANK(Design!$B$40),Constants!$C$6,Design!$B$40)/1000*(1+Constants!$C$31/100*(N17-25))-Design!$C$28)/(IF(ISBLANK(Design!$B$39),Design!$B$38,Design!$B$39)/1000000)*E17/100/(IF(ISBLANK(Design!$B$32),Design!$B$31,Design!$B$32)*1000000))</f>
        <v>0.55324778774696537</v>
      </c>
      <c r="G17" s="208">
        <f>B17*Constants!$C$18/1000+IF(ISBLANK(Design!$B$32),Design!$B$31,Design!$B$32)*1000000*Constants!$D$22/1000000000*(B17-Constants!$C$21)</f>
        <v>7.1355000000000002E-2</v>
      </c>
      <c r="H17" s="208">
        <f>B17*C17*(B17/(Constants!$C$23*1000000000)*IF(ISBLANK(Design!$B$32),Design!$B$31,Design!$B$32)*1000000/2+B17/(Constants!$C$24*1000000000)*IF(ISBLANK(Design!$B$32),Design!$B$31,Design!$B$32)*1000000/2)</f>
        <v>0.36882564528508777</v>
      </c>
      <c r="I17" s="208">
        <f t="shared" ca="1" si="1"/>
        <v>0.66976911304904552</v>
      </c>
      <c r="J17" s="208">
        <f>Constants!$D$22/1000000000*Constants!$C$21*IF(ISBLANK(Design!$B$32),Design!$B$31,Design!$B$32)*1000000</f>
        <v>4.9999999999999996E-2</v>
      </c>
      <c r="K17" s="208">
        <f t="shared" ca="1" si="4"/>
        <v>1.1599497583341334</v>
      </c>
      <c r="L17" s="208">
        <f t="shared" ca="1" si="5"/>
        <v>0.80629511926244857</v>
      </c>
      <c r="M17" s="209">
        <f ca="1">A17+L17*Design!$B$19</f>
        <v>130.95882179795956</v>
      </c>
      <c r="N17" s="209">
        <f ca="1">K17*Design!$C$12+A17</f>
        <v>124.43829178336054</v>
      </c>
      <c r="O17" s="209">
        <f ca="1">Constants!$D$19+Constants!$D$19*Constants!$C$20/100*(N17-25)</f>
        <v>132.54881046049411</v>
      </c>
      <c r="P17" s="208">
        <f ca="1">(1-Constants!$C$17/1000000000*Design!$B$32*1000000) * ($B17+D17-C17*O17/1000) - (D17+C17*(1+($A17-25)*Constants!$C$31/100)*IF(ISBLANK(Design!$B$40),Constants!$C$6/1000,Design!$B$40/1000))</f>
        <v>7.5804325189815307</v>
      </c>
      <c r="Q17" s="214">
        <f ca="1">IF(P17&gt;Design!$C$28,Design!$C$28,P17)</f>
        <v>3.3239005736137672</v>
      </c>
      <c r="R17" s="224">
        <f>2*Design!$D$6/3</f>
        <v>2.3333333333333335</v>
      </c>
      <c r="S17" s="159">
        <f ca="1">FORECAST(R17, OFFSET(Design!$C$15:$C$17,MATCH(R17,Design!$B$15:$B$17,1)-1,0,2), OFFSET(Design!$B$15:$B$17,MATCH(R17,Design!$B$15:$B$17,1)-1,0,2))+(AB17-25)*Design!$B$18/1000</f>
        <v>0.37812441420718024</v>
      </c>
      <c r="T17" s="225">
        <f ca="1">IF(100*(Design!$C$28+S17+R17*IF(ISBLANK(Design!$B$40),Constants!$C$6,Design!$B$40)/1000*(1+Constants!$C$31/100*(AC17-25)))/($B17+S17-R17*AD17/1000)&gt;Design!$C$35,Design!$C$35,100*(Design!$C$28+S17+R17*IF(ISBLANK(Design!$B$40),Constants!$C$6,Design!$B$40)/1000*(1+Constants!$C$31/100*(AC17-25)))/($B17+S17-R17*AD17/1000))</f>
        <v>39.931217943685141</v>
      </c>
      <c r="U17" s="160">
        <f ca="1">IF(($B17-R17*IF(ISBLANK(Design!$B$40),Constants!$C$6,Design!$B$40)/1000*(1+Constants!$C$31/100*(AC17-25))-Design!$C$28)/(Design!$B$39/1000000)*T17/100/(IF(ISBLANK(IF(ISBLANK(Design!$B$39),Design!$B$38,Design!$B$39)),Design!$B$31,Design!$B$32)*1000000)&lt;0,0,($B17-R17*IF(ISBLANK(Design!$B$40),Constants!$C$6,Design!$B$40)/1000*(1+Constants!$C$31/100*(AC17-25))-Design!$C$28)/(IF(ISBLANK(Design!$B$39),Design!$B$38,Design!$B$39)/1000000)*T17/100/(IF(ISBLANK(Design!$B$32),Design!$B$31,Design!$B$32)*1000000))</f>
        <v>0.53992992017712305</v>
      </c>
      <c r="V17" s="226">
        <f>$B17*Constants!$C$18/1000+IF(ISBLANK(Design!$B$32),Design!$B$31,Design!$B$32)*1000000*Constants!$D$22/1000000000*($B17-Constants!$C$21)</f>
        <v>7.1355000000000002E-2</v>
      </c>
      <c r="W17" s="226">
        <f>$B17*R17*($B17/(Constants!$C$23*1000000000)*IF(ISBLANK(Design!$B$32),Design!$B$31,Design!$B$32)*1000000/2+$B17/(Constants!$C$24*1000000000)*IF(ISBLANK(Design!$B$32),Design!$B$31,Design!$B$32)*1000000/2)</f>
        <v>0.24588376352339189</v>
      </c>
      <c r="X17" s="226">
        <f t="shared" ca="1" si="2"/>
        <v>0.2693056382333226</v>
      </c>
      <c r="Y17" s="226">
        <f>Constants!$D$22/1000000000*Constants!$C$21*IF(ISBLANK(Design!$B$32),Design!$B$31,Design!$B$32)*1000000</f>
        <v>4.9999999999999996E-2</v>
      </c>
      <c r="Z17" s="226">
        <f t="shared" ca="1" si="10"/>
        <v>0.63654440175671456</v>
      </c>
      <c r="AA17" s="226">
        <f t="shared" ca="1" si="7"/>
        <v>0.52998103730093282</v>
      </c>
      <c r="AB17" s="227">
        <f ca="1">$A17+AA17*Design!$B$19</f>
        <v>115.20891912615318</v>
      </c>
      <c r="AC17" s="227">
        <f ca="1">Z17*Design!$C$12+$A17</f>
        <v>106.64250965972829</v>
      </c>
      <c r="AD17" s="227">
        <f ca="1">Constants!$D$19+Constants!$D$19*Constants!$C$20/100*(AC17-25)</f>
        <v>123.32347700760315</v>
      </c>
      <c r="AE17" s="226">
        <f ca="1">(1-Constants!$C$17/1000000000*Design!$B$32*1000000) * ($B17+S17-R17*AD17/1000) - (S17+R17*(1+($A17-25)*Constants!$C$31/100)*IF(ISBLANK(Design!$B$40),Constants!$C$6/1000,Design!$B$40/1000))</f>
        <v>7.7642765011609658</v>
      </c>
      <c r="AF17" s="160">
        <f ca="1">IF(AE17&gt;Design!$C$28,Design!$C$28,AE17)</f>
        <v>3.3239005736137672</v>
      </c>
      <c r="AG17" s="161">
        <f>Design!$D$6/3</f>
        <v>1.1666666666666667</v>
      </c>
      <c r="AH17" s="161">
        <f ca="1">FORECAST(AG17, OFFSET(Design!$C$15:$C$17,MATCH(AG17,Design!$B$15:$B$17,1)-1,0,2), OFFSET(Design!$B$15:$B$17,MATCH(AG17,Design!$B$15:$B$17,1)-1,0,2))+(AQ17-25)*Design!$B$18/1000</f>
        <v>0.32203836857764068</v>
      </c>
      <c r="AI17" s="239">
        <f ca="1">IF(100*(Design!$C$28+AH17+AG17*IF(ISBLANK(Design!$B$40),Constants!$C$6,Design!$B$40)/1000*(1+Constants!$C$31/100*(AR17-25)))/($B17+AH17-AG17*AS17/1000)&gt;Design!$C$35,Design!$C$35,100*(Design!$C$28+AH17+AG17*IF(ISBLANK(Design!$B$40),Constants!$C$6,Design!$B$40)/1000*(1+Constants!$C$31/100*(AR17-25)))/($B17+AH17-AG17*AS17/1000))</f>
        <v>38.610889375638997</v>
      </c>
      <c r="AJ17" s="162">
        <f ca="1">IF(($B17-AG17*IF(ISBLANK(Design!$B$40),Constants!$C$6,Design!$B$40)/1000*(1+Constants!$C$31/100*(AR17-25))-Design!$C$28)/(IF(ISBLANK(Design!$B$39),Design!$B$38,Design!$B$39)/1000000)*AI17/100/(IF(ISBLANK(Design!$B$32),Design!$B$31,Design!$B$32)*1000000)&lt;0,0,($B17-AG17*IF(ISBLANK(Design!$B$40),Constants!$C$6,Design!$B$40)/1000*(1+Constants!$C$31/100*(AR17-25))-Design!$C$28)/(IF(ISBLANK(Design!$B$39),Design!$B$38,Design!$B$39)/1000000)*AI17/100/(IF(ISBLANK(Design!$B$32),Design!$B$31,Design!$B$32)*1000000))</f>
        <v>0.52487174622618737</v>
      </c>
      <c r="AK17" s="240">
        <f>$B17*Constants!$C$18/1000+IF(ISBLANK(Design!$B$32),Design!$B$31,Design!$B$32)*1000000*Constants!$D$22/1000000000*($B17-Constants!$C$21)</f>
        <v>7.1355000000000002E-2</v>
      </c>
      <c r="AL17" s="240">
        <f>$B17*AG17*($B17/(Constants!$C$23*1000000000)*IF(ISBLANK(Design!$B$32),Design!$B$31,Design!$B$32)*1000000/2+$B17/(Constants!$C$24*1000000000)*IF(ISBLANK(Design!$B$32),Design!$B$31,Design!$B$32)*1000000/2)</f>
        <v>0.12294188176169595</v>
      </c>
      <c r="AM17" s="240">
        <f t="shared" ca="1" si="3"/>
        <v>6.2801113042364937E-2</v>
      </c>
      <c r="AN17" s="240">
        <f>Constants!$D$22/1000000000*Constants!$C$21*IF(ISBLANK(Design!$B$32),Design!$B$31,Design!$B$32)*1000000</f>
        <v>4.9999999999999996E-2</v>
      </c>
      <c r="AO17" s="240">
        <f t="shared" ca="1" si="11"/>
        <v>0.30709799480406091</v>
      </c>
      <c r="AP17" s="240">
        <f t="shared" ca="1" si="9"/>
        <v>0.23064590539551785</v>
      </c>
      <c r="AQ17" s="241">
        <f ca="1">$A17+AP17*Design!$B$19</f>
        <v>98.146816607544523</v>
      </c>
      <c r="AR17" s="241">
        <f ca="1">AO17*Design!$C$12+$A17</f>
        <v>95.441331823338075</v>
      </c>
      <c r="AS17" s="241">
        <f ca="1">Constants!$D$19+Constants!$D$19*Constants!$C$20/100*(AR17-25)</f>
        <v>117.51678641721847</v>
      </c>
      <c r="AT17" s="240">
        <f ca="1">(1-Constants!$C$17/1000000000*Design!$B$32*1000000) * ($B17+AH17-AG17*AS17/1000) - (AH17+AG17*(1+($A17-25)*Constants!$C$31/100)*IF(ISBLANK(Design!$B$40),Constants!$C$6/1000,Design!$B$40/1000))</f>
        <v>7.9314701405380976</v>
      </c>
      <c r="AU17" s="162">
        <f ca="1">IF(AT17&gt;Design!$C$28,Design!$C$28,AT17)</f>
        <v>3.3239005736137672</v>
      </c>
    </row>
    <row r="18" spans="1:47" s="163" customFormat="1" ht="12.75" customHeight="1">
      <c r="A18" s="155">
        <f>Design!$D$13</f>
        <v>85</v>
      </c>
      <c r="B18" s="156">
        <f t="shared" si="0"/>
        <v>9.1300000000000008</v>
      </c>
      <c r="C18" s="157">
        <f>Design!$D$6</f>
        <v>3.5</v>
      </c>
      <c r="D18" s="157">
        <f ca="1">FORECAST(C18, OFFSET(Design!$C$15:$C$17,MATCH(C18,Design!$B$15:$B$17,1)-1,0,2), OFFSET(Design!$B$15:$B$17,MATCH(C18,Design!$B$15:$B$17,1)-1,0,2))+(M18-25)*Design!$B$18/1000</f>
        <v>0.39219541989834428</v>
      </c>
      <c r="E18" s="216">
        <f ca="1">IF(100*(Design!$C$28+D18+C18*IF(ISBLANK(Design!$B$40),Constants!$C$6,Design!$B$40)/1000*(1+Constants!$C$31/100*(N18-25)))/($B18+D18-C18*O18/1000)&gt;Design!$C$35,Design!$C$35,100*(Design!$C$28+D18+C18*IF(ISBLANK(Design!$B$40),Constants!$C$6,Design!$B$40)/1000*(1+Constants!$C$31/100*(N18-25)))/($B18+D18-C18*O18/1000))</f>
        <v>42.097583104150026</v>
      </c>
      <c r="F18" s="158">
        <f ca="1">IF(($B18-C18*IF(ISBLANK(Design!$B$40),Constants!$C$6,Design!$B$40)/1000*(1+Constants!$C$31/100*(N18-25))-Design!$C$28)/(IF(ISBLANK(Design!$B$39),Design!$B$38,Design!$B$39)/1000000)*E18/100/(IF(ISBLANK(Design!$B$32),Design!$B$31,Design!$B$32)*1000000)&lt;0, 0, ($B18-C18*IF(ISBLANK(Design!$B$40),Constants!$C$6,Design!$B$40)/1000*(1+Constants!$C$31/100*(N18-25))-Design!$C$28)/(IF(ISBLANK(Design!$B$39),Design!$B$38,Design!$B$39)/1000000)*E18/100/(IF(ISBLANK(Design!$B$32),Design!$B$31,Design!$B$32)*1000000))</f>
        <v>0.54619510877044475</v>
      </c>
      <c r="G18" s="208">
        <f>B18*Constants!$C$18/1000+IF(ISBLANK(Design!$B$32),Design!$B$31,Design!$B$32)*1000000*Constants!$D$22/1000000000*(B18-Constants!$C$21)</f>
        <v>6.8690000000000015E-2</v>
      </c>
      <c r="H18" s="208">
        <f>B18*C18*(B18/(Constants!$C$23*1000000000)*IF(ISBLANK(Design!$B$32),Design!$B$31,Design!$B$32)*1000000/2+B18/(Constants!$C$24*1000000000)*IF(ISBLANK(Design!$B$32),Design!$B$31,Design!$B$32)*1000000/2)</f>
        <v>0.35280442324561412</v>
      </c>
      <c r="I18" s="208">
        <f t="shared" ca="1" si="1"/>
        <v>0.68458261229094075</v>
      </c>
      <c r="J18" s="208">
        <f>Constants!$D$22/1000000000*Constants!$C$21*IF(ISBLANK(Design!$B$32),Design!$B$31,Design!$B$32)*1000000</f>
        <v>4.9999999999999996E-2</v>
      </c>
      <c r="K18" s="208">
        <f t="shared" ca="1" si="4"/>
        <v>1.1560770355365551</v>
      </c>
      <c r="L18" s="208">
        <f t="shared" ca="1" si="5"/>
        <v>0.7948171947658903</v>
      </c>
      <c r="M18" s="209">
        <f ca="1">A18+L18*Design!$B$19</f>
        <v>130.30458010165574</v>
      </c>
      <c r="N18" s="209">
        <f ca="1">K18*Design!$C$12+A18</f>
        <v>124.30661920824286</v>
      </c>
      <c r="O18" s="209">
        <f ca="1">Constants!$D$19+Constants!$D$19*Constants!$C$20/100*(N18-25)</f>
        <v>132.48055139755311</v>
      </c>
      <c r="P18" s="208">
        <f ca="1">(1-Constants!$C$17/1000000000*Design!$B$32*1000000) * ($B18+D18-C18*O18/1000) - (D18+C18*(1+($A18-25)*Constants!$C$31/100)*IF(ISBLANK(Design!$B$40),Constants!$C$6/1000,Design!$B$40/1000))</f>
        <v>7.4022053164076667</v>
      </c>
      <c r="Q18" s="214">
        <f ca="1">IF(P18&gt;Design!$C$28,Design!$C$28,P18)</f>
        <v>3.3239005736137672</v>
      </c>
      <c r="R18" s="224">
        <f>2*Design!$D$6/3</f>
        <v>2.3333333333333335</v>
      </c>
      <c r="S18" s="159">
        <f ca="1">FORECAST(R18, OFFSET(Design!$C$15:$C$17,MATCH(R18,Design!$B$15:$B$17,1)-1,0,2), OFFSET(Design!$B$15:$B$17,MATCH(R18,Design!$B$15:$B$17,1)-1,0,2))+(AB18-25)*Design!$B$18/1000</f>
        <v>0.37853866311349182</v>
      </c>
      <c r="T18" s="225">
        <f ca="1">IF(100*(Design!$C$28+S18+R18*IF(ISBLANK(Design!$B$40),Constants!$C$6,Design!$B$40)/1000*(1+Constants!$C$31/100*(AC18-25)))/($B18+S18-R18*AD18/1000)&gt;Design!$C$35,Design!$C$35,100*(Design!$C$28+S18+R18*IF(ISBLANK(Design!$B$40),Constants!$C$6,Design!$B$40)/1000*(1+Constants!$C$31/100*(AC18-25)))/($B18+S18-R18*AD18/1000))</f>
        <v>40.81976329753428</v>
      </c>
      <c r="U18" s="160">
        <f ca="1">IF(($B18-R18*IF(ISBLANK(Design!$B$40),Constants!$C$6,Design!$B$40)/1000*(1+Constants!$C$31/100*(AC18-25))-Design!$C$28)/(Design!$B$39/1000000)*T18/100/(IF(ISBLANK(IF(ISBLANK(Design!$B$39),Design!$B$38,Design!$B$39)),Design!$B$31,Design!$B$32)*1000000)&lt;0,0,($B18-R18*IF(ISBLANK(Design!$B$40),Constants!$C$6,Design!$B$40)/1000*(1+Constants!$C$31/100*(AC18-25))-Design!$C$28)/(IF(ISBLANK(Design!$B$39),Design!$B$38,Design!$B$39)/1000000)*T18/100/(IF(ISBLANK(Design!$B$32),Design!$B$31,Design!$B$32)*1000000))</f>
        <v>0.53293053336724383</v>
      </c>
      <c r="V18" s="226">
        <f>$B18*Constants!$C$18/1000+IF(ISBLANK(Design!$B$32),Design!$B$31,Design!$B$32)*1000000*Constants!$D$22/1000000000*($B18-Constants!$C$21)</f>
        <v>6.8690000000000015E-2</v>
      </c>
      <c r="W18" s="226">
        <f>$B18*R18*($B18/(Constants!$C$23*1000000000)*IF(ISBLANK(Design!$B$32),Design!$B$31,Design!$B$32)*1000000/2+$B18/(Constants!$C$24*1000000000)*IF(ISBLANK(Design!$B$32),Design!$B$31,Design!$B$32)*1000000/2)</f>
        <v>0.23520294883040943</v>
      </c>
      <c r="X18" s="226">
        <f t="shared" ca="1" si="2"/>
        <v>0.27496427171228149</v>
      </c>
      <c r="Y18" s="226">
        <f>Constants!$D$22/1000000000*Constants!$C$21*IF(ISBLANK(Design!$B$32),Design!$B$31,Design!$B$32)*1000000</f>
        <v>4.9999999999999996E-2</v>
      </c>
      <c r="Z18" s="226">
        <f t="shared" ca="1" si="10"/>
        <v>0.628857220542691</v>
      </c>
      <c r="AA18" s="226">
        <f t="shared" ca="1" si="7"/>
        <v>0.52271351262879884</v>
      </c>
      <c r="AB18" s="227">
        <f ca="1">$A18+AA18*Design!$B$19</f>
        <v>114.79467021984154</v>
      </c>
      <c r="AC18" s="227">
        <f ca="1">Z18*Design!$C$12+$A18</f>
        <v>106.3811454984515</v>
      </c>
      <c r="AD18" s="227">
        <f ca="1">Constants!$D$19+Constants!$D$19*Constants!$C$20/100*(AC18-25)</f>
        <v>123.18798582639727</v>
      </c>
      <c r="AE18" s="226">
        <f ca="1">(1-Constants!$C$17/1000000000*Design!$B$32*1000000) * ($B18+S18-R18*AD18/1000) - (S18+R18*(1+($A18-25)*Constants!$C$31/100)*IF(ISBLANK(Design!$B$40),Constants!$C$6/1000,Design!$B$40/1000))</f>
        <v>7.5861476959009924</v>
      </c>
      <c r="AF18" s="160">
        <f ca="1">IF(AE18&gt;Design!$C$28,Design!$C$28,AE18)</f>
        <v>3.3239005736137672</v>
      </c>
      <c r="AG18" s="161">
        <f>Design!$D$6/3</f>
        <v>1.1666666666666667</v>
      </c>
      <c r="AH18" s="161">
        <f ca="1">FORECAST(AG18, OFFSET(Design!$C$15:$C$17,MATCH(AG18,Design!$B$15:$B$17,1)-1,0,2), OFFSET(Design!$B$15:$B$17,MATCH(AG18,Design!$B$15:$B$17,1)-1,0,2))+(AQ18-25)*Design!$B$18/1000</f>
        <v>0.32221336906085224</v>
      </c>
      <c r="AI18" s="239">
        <f ca="1">IF(100*(Design!$C$28+AH18+AG18*IF(ISBLANK(Design!$B$40),Constants!$C$6,Design!$B$40)/1000*(1+Constants!$C$31/100*(AR18-25)))/($B18+AH18-AG18*AS18/1000)&gt;Design!$C$35,Design!$C$35,100*(Design!$C$28+AH18+AG18*IF(ISBLANK(Design!$B$40),Constants!$C$6,Design!$B$40)/1000*(1+Constants!$C$31/100*(AR18-25)))/($B18+AH18-AG18*AS18/1000))</f>
        <v>39.4609526309046</v>
      </c>
      <c r="AJ18" s="162">
        <f ca="1">IF(($B18-AG18*IF(ISBLANK(Design!$B$40),Constants!$C$6,Design!$B$40)/1000*(1+Constants!$C$31/100*(AR18-25))-Design!$C$28)/(IF(ISBLANK(Design!$B$39),Design!$B$38,Design!$B$39)/1000000)*AI18/100/(IF(ISBLANK(Design!$B$32),Design!$B$31,Design!$B$32)*1000000)&lt;0,0,($B18-AG18*IF(ISBLANK(Design!$B$40),Constants!$C$6,Design!$B$40)/1000*(1+Constants!$C$31/100*(AR18-25))-Design!$C$28)/(IF(ISBLANK(Design!$B$39),Design!$B$38,Design!$B$39)/1000000)*AI18/100/(IF(ISBLANK(Design!$B$32),Design!$B$31,Design!$B$32)*1000000))</f>
        <v>0.51804406402724901</v>
      </c>
      <c r="AK18" s="240">
        <f>$B18*Constants!$C$18/1000+IF(ISBLANK(Design!$B$32),Design!$B$31,Design!$B$32)*1000000*Constants!$D$22/1000000000*($B18-Constants!$C$21)</f>
        <v>6.8690000000000015E-2</v>
      </c>
      <c r="AL18" s="240">
        <f>$B18*AG18*($B18/(Constants!$C$23*1000000000)*IF(ISBLANK(Design!$B$32),Design!$B$31,Design!$B$32)*1000000/2+$B18/(Constants!$C$24*1000000000)*IF(ISBLANK(Design!$B$32),Design!$B$31,Design!$B$32)*1000000/2)</f>
        <v>0.11760147441520472</v>
      </c>
      <c r="AM18" s="240">
        <f t="shared" ca="1" si="3"/>
        <v>6.4091621113354744E-2</v>
      </c>
      <c r="AN18" s="240">
        <f>Constants!$D$22/1000000000*Constants!$C$21*IF(ISBLANK(Design!$B$32),Design!$B$31,Design!$B$32)*1000000</f>
        <v>4.9999999999999996E-2</v>
      </c>
      <c r="AO18" s="240">
        <f t="shared" ca="1" si="11"/>
        <v>0.30038309552855946</v>
      </c>
      <c r="AP18" s="240">
        <f t="shared" ca="1" si="9"/>
        <v>0.22757572147952546</v>
      </c>
      <c r="AQ18" s="241">
        <f ca="1">$A18+AP18*Design!$B$19</f>
        <v>97.971816124332946</v>
      </c>
      <c r="AR18" s="241">
        <f ca="1">AO18*Design!$C$12+$A18</f>
        <v>95.213025247971018</v>
      </c>
      <c r="AS18" s="241">
        <f ca="1">Constants!$D$19+Constants!$D$19*Constants!$C$20/100*(AR18-25)</f>
        <v>117.39843228854818</v>
      </c>
      <c r="AT18" s="240">
        <f ca="1">(1-Constants!$C$17/1000000000*Design!$B$32*1000000) * ($B18+AH18-AG18*AS18/1000) - (AH18+AG18*(1+($A18-25)*Constants!$C$31/100)*IF(ISBLANK(Design!$B$40),Constants!$C$6/1000,Design!$B$40/1000))</f>
        <v>7.7532175199158804</v>
      </c>
      <c r="AU18" s="162">
        <f ca="1">IF(AT18&gt;Design!$C$28,Design!$C$28,AT18)</f>
        <v>3.3239005736137672</v>
      </c>
    </row>
    <row r="19" spans="1:47" s="163" customFormat="1" ht="12.75" customHeight="1">
      <c r="A19" s="155">
        <f>Design!$D$13</f>
        <v>85</v>
      </c>
      <c r="B19" s="156">
        <f t="shared" si="0"/>
        <v>8.9250000000000007</v>
      </c>
      <c r="C19" s="157">
        <f>Design!$D$6</f>
        <v>3.5</v>
      </c>
      <c r="D19" s="157">
        <f ca="1">FORECAST(C19, OFFSET(Design!$C$15:$C$17,MATCH(C19,Design!$B$15:$B$17,1)-1,0,2), OFFSET(Design!$B$15:$B$17,MATCH(C19,Design!$B$15:$B$17,1)-1,0,2))+(M19-25)*Design!$B$18/1000</f>
        <v>0.39288264751509661</v>
      </c>
      <c r="E19" s="216">
        <f ca="1">IF(100*(Design!$C$28+D19+C19*IF(ISBLANK(Design!$B$40),Constants!$C$6,Design!$B$40)/1000*(1+Constants!$C$31/100*(N19-25)))/($B19+D19-C19*O19/1000)&gt;Design!$C$35,Design!$C$35,100*(Design!$C$28+D19+C19*IF(ISBLANK(Design!$B$40),Constants!$C$6,Design!$B$40)/1000*(1+Constants!$C$31/100*(N19-25)))/($B19+D19-C19*O19/1000))</f>
        <v>43.07565413442785</v>
      </c>
      <c r="F19" s="158">
        <f ca="1">IF(($B19-C19*IF(ISBLANK(Design!$B$40),Constants!$C$6,Design!$B$40)/1000*(1+Constants!$C$31/100*(N19-25))-Design!$C$28)/(IF(ISBLANK(Design!$B$39),Design!$B$38,Design!$B$39)/1000000)*E19/100/(IF(ISBLANK(Design!$B$32),Design!$B$31,Design!$B$32)*1000000)&lt;0, 0, ($B19-C19*IF(ISBLANK(Design!$B$40),Constants!$C$6,Design!$B$40)/1000*(1+Constants!$C$31/100*(N19-25))-Design!$C$28)/(IF(ISBLANK(Design!$B$39),Design!$B$38,Design!$B$39)/1000000)*E19/100/(IF(ISBLANK(Design!$B$32),Design!$B$31,Design!$B$32)*1000000))</f>
        <v>0.53881824035733916</v>
      </c>
      <c r="G19" s="208">
        <f>B19*Constants!$C$18/1000+IF(ISBLANK(Design!$B$32),Design!$B$31,Design!$B$32)*1000000*Constants!$D$22/1000000000*(B19-Constants!$C$21)</f>
        <v>6.6025000000000014E-2</v>
      </c>
      <c r="H19" s="208">
        <f>B19*C19*(B19/(Constants!$C$23*1000000000)*IF(ISBLANK(Design!$B$32),Design!$B$31,Design!$B$32)*1000000/2+B19/(Constants!$C$24*1000000000)*IF(ISBLANK(Design!$B$32),Design!$B$31,Design!$B$32)*1000000/2)</f>
        <v>0.33713893914473692</v>
      </c>
      <c r="I19" s="208">
        <f t="shared" ca="1" si="1"/>
        <v>0.70019659705992987</v>
      </c>
      <c r="J19" s="208">
        <f>Constants!$D$22/1000000000*Constants!$C$21*IF(ISBLANK(Design!$B$32),Design!$B$31,Design!$B$32)*1000000</f>
        <v>4.9999999999999996E-2</v>
      </c>
      <c r="K19" s="208">
        <f t="shared" ca="1" si="4"/>
        <v>1.1533605362046668</v>
      </c>
      <c r="L19" s="208">
        <f t="shared" ca="1" si="5"/>
        <v>0.78276056991058607</v>
      </c>
      <c r="M19" s="209">
        <f ca="1">A19+L19*Design!$B$19</f>
        <v>129.61735248490339</v>
      </c>
      <c r="N19" s="209">
        <f ca="1">K19*Design!$C$12+A19</f>
        <v>124.21425823095868</v>
      </c>
      <c r="O19" s="209">
        <f ca="1">Constants!$D$19+Constants!$D$19*Constants!$C$20/100*(N19-25)</f>
        <v>132.43267146692898</v>
      </c>
      <c r="P19" s="208">
        <f ca="1">(1-Constants!$C$17/1000000000*Design!$B$32*1000000) * ($B19+D19-C19*O19/1000) - (D19+C19*(1+($A19-25)*Constants!$C$31/100)*IF(ISBLANK(Design!$B$40),Constants!$C$6/1000,Design!$B$40/1000))</f>
        <v>7.2239117712062377</v>
      </c>
      <c r="Q19" s="214">
        <f ca="1">IF(P19&gt;Design!$C$28,Design!$C$28,P19)</f>
        <v>3.3239005736137672</v>
      </c>
      <c r="R19" s="224">
        <f>2*Design!$D$6/3</f>
        <v>2.3333333333333335</v>
      </c>
      <c r="S19" s="159">
        <f ca="1">FORECAST(R19, OFFSET(Design!$C$15:$C$17,MATCH(R19,Design!$B$15:$B$17,1)-1,0,2), OFFSET(Design!$B$15:$B$17,MATCH(R19,Design!$B$15:$B$17,1)-1,0,2))+(AB19-25)*Design!$B$18/1000</f>
        <v>0.37897277496692483</v>
      </c>
      <c r="T19" s="225">
        <f ca="1">IF(100*(Design!$C$28+S19+R19*IF(ISBLANK(Design!$B$40),Constants!$C$6,Design!$B$40)/1000*(1+Constants!$C$31/100*(AC19-25)))/($B19+S19-R19*AD19/1000)&gt;Design!$C$35,Design!$C$35,100*(Design!$C$28+S19+R19*IF(ISBLANK(Design!$B$40),Constants!$C$6,Design!$B$40)/1000*(1+Constants!$C$31/100*(AC19-25)))/($B19+S19-R19*AD19/1000))</f>
        <v>41.748829328917324</v>
      </c>
      <c r="U19" s="160">
        <f ca="1">IF(($B19-R19*IF(ISBLANK(Design!$B$40),Constants!$C$6,Design!$B$40)/1000*(1+Constants!$C$31/100*(AC19-25))-Design!$C$28)/(Design!$B$39/1000000)*T19/100/(IF(ISBLANK(IF(ISBLANK(Design!$B$39),Design!$B$38,Design!$B$39)),Design!$B$31,Design!$B$32)*1000000)&lt;0,0,($B19-R19*IF(ISBLANK(Design!$B$40),Constants!$C$6,Design!$B$40)/1000*(1+Constants!$C$31/100*(AC19-25))-Design!$C$28)/(IF(ISBLANK(Design!$B$39),Design!$B$38,Design!$B$39)/1000000)*T19/100/(IF(ISBLANK(Design!$B$32),Design!$B$31,Design!$B$32)*1000000))</f>
        <v>0.52561322394771492</v>
      </c>
      <c r="V19" s="226">
        <f>$B19*Constants!$C$18/1000+IF(ISBLANK(Design!$B$32),Design!$B$31,Design!$B$32)*1000000*Constants!$D$22/1000000000*($B19-Constants!$C$21)</f>
        <v>6.6025000000000014E-2</v>
      </c>
      <c r="W19" s="226">
        <f>$B19*R19*($B19/(Constants!$C$23*1000000000)*IF(ISBLANK(Design!$B$32),Design!$B$31,Design!$B$32)*1000000/2+$B19/(Constants!$C$24*1000000000)*IF(ISBLANK(Design!$B$32),Design!$B$31,Design!$B$32)*1000000/2)</f>
        <v>0.22475929276315795</v>
      </c>
      <c r="X19" s="226">
        <f t="shared" ca="1" si="2"/>
        <v>0.28090076517474982</v>
      </c>
      <c r="Y19" s="226">
        <f>Constants!$D$22/1000000000*Constants!$C$21*IF(ISBLANK(Design!$B$32),Design!$B$31,Design!$B$32)*1000000</f>
        <v>4.9999999999999996E-2</v>
      </c>
      <c r="Z19" s="226">
        <f t="shared" ca="1" si="10"/>
        <v>0.62168505793790785</v>
      </c>
      <c r="AA19" s="226">
        <f t="shared" ca="1" si="7"/>
        <v>0.51509751520015012</v>
      </c>
      <c r="AB19" s="227">
        <f ca="1">$A19+AA19*Design!$B$19</f>
        <v>114.36055836640855</v>
      </c>
      <c r="AC19" s="227">
        <f ca="1">Z19*Design!$C$12+$A19</f>
        <v>106.13729196988886</v>
      </c>
      <c r="AD19" s="227">
        <f ca="1">Constants!$D$19+Constants!$D$19*Constants!$C$20/100*(AC19-25)</f>
        <v>123.0615721571904</v>
      </c>
      <c r="AE19" s="226">
        <f ca="1">(1-Constants!$C$17/1000000000*Design!$B$32*1000000) * ($B19+S19-R19*AD19/1000) - (S19+R19*(1+($A19-25)*Constants!$C$31/100)*IF(ISBLANK(Design!$B$40),Constants!$C$6/1000,Design!$B$40/1000))</f>
        <v>7.4079978811085381</v>
      </c>
      <c r="AF19" s="160">
        <f ca="1">IF(AE19&gt;Design!$C$28,Design!$C$28,AE19)</f>
        <v>3.3239005736137672</v>
      </c>
      <c r="AG19" s="161">
        <f>Design!$D$6/3</f>
        <v>1.1666666666666667</v>
      </c>
      <c r="AH19" s="161">
        <f ca="1">FORECAST(AG19, OFFSET(Design!$C$15:$C$17,MATCH(AG19,Design!$B$15:$B$17,1)-1,0,2), OFFSET(Design!$B$15:$B$17,MATCH(AG19,Design!$B$15:$B$17,1)-1,0,2))+(AQ19-25)*Design!$B$18/1000</f>
        <v>0.32239645183724475</v>
      </c>
      <c r="AI19" s="239">
        <f ca="1">IF(100*(Design!$C$28+AH19+AG19*IF(ISBLANK(Design!$B$40),Constants!$C$6,Design!$B$40)/1000*(1+Constants!$C$31/100*(AR19-25)))/($B19+AH19-AG19*AS19/1000)&gt;Design!$C$35,Design!$C$35,100*(Design!$C$28+AH19+AG19*IF(ISBLANK(Design!$B$40),Constants!$C$6,Design!$B$40)/1000*(1+Constants!$C$31/100*(AR19-25)))/($B19+AH19-AG19*AS19/1000))</f>
        <v>40.349287787645203</v>
      </c>
      <c r="AJ19" s="162">
        <f ca="1">IF(($B19-AG19*IF(ISBLANK(Design!$B$40),Constants!$C$6,Design!$B$40)/1000*(1+Constants!$C$31/100*(AR19-25))-Design!$C$28)/(IF(ISBLANK(Design!$B$39),Design!$B$38,Design!$B$39)/1000000)*AI19/100/(IF(ISBLANK(Design!$B$32),Design!$B$31,Design!$B$32)*1000000)&lt;0,0,($B19-AG19*IF(ISBLANK(Design!$B$40),Constants!$C$6,Design!$B$40)/1000*(1+Constants!$C$31/100*(AR19-25))-Design!$C$28)/(IF(ISBLANK(Design!$B$39),Design!$B$38,Design!$B$39)/1000000)*AI19/100/(IF(ISBLANK(Design!$B$32),Design!$B$31,Design!$B$32)*1000000))</f>
        <v>0.51090891231806768</v>
      </c>
      <c r="AK19" s="240">
        <f>$B19*Constants!$C$18/1000+IF(ISBLANK(Design!$B$32),Design!$B$31,Design!$B$32)*1000000*Constants!$D$22/1000000000*($B19-Constants!$C$21)</f>
        <v>6.6025000000000014E-2</v>
      </c>
      <c r="AL19" s="240">
        <f>$B19*AG19*($B19/(Constants!$C$23*1000000000)*IF(ISBLANK(Design!$B$32),Design!$B$31,Design!$B$32)*1000000/2+$B19/(Constants!$C$24*1000000000)*IF(ISBLANK(Design!$B$32),Design!$B$31,Design!$B$32)*1000000/2)</f>
        <v>0.11237964638157898</v>
      </c>
      <c r="AM19" s="240">
        <f t="shared" ca="1" si="3"/>
        <v>6.5441162653592053E-2</v>
      </c>
      <c r="AN19" s="240">
        <f>Constants!$D$22/1000000000*Constants!$C$21*IF(ISBLANK(Design!$B$32),Design!$B$31,Design!$B$32)*1000000</f>
        <v>4.9999999999999996E-2</v>
      </c>
      <c r="AO19" s="240">
        <f t="shared" ca="1" si="11"/>
        <v>0.29384580903517105</v>
      </c>
      <c r="AP19" s="240">
        <f t="shared" ca="1" si="9"/>
        <v>0.22436374294632422</v>
      </c>
      <c r="AQ19" s="241">
        <f ca="1">$A19+AP19*Design!$B$19</f>
        <v>97.788733347940479</v>
      </c>
      <c r="AR19" s="241">
        <f ca="1">AO19*Design!$C$12+$A19</f>
        <v>94.990757507195809</v>
      </c>
      <c r="AS19" s="241">
        <f ca="1">Constants!$D$19+Constants!$D$19*Constants!$C$20/100*(AR19-25)</f>
        <v>117.28320869173032</v>
      </c>
      <c r="AT19" s="240">
        <f ca="1">(1-Constants!$C$17/1000000000*Design!$B$32*1000000) * ($B19+AH19-AG19*AS19/1000) - (AH19+AG19*(1+($A19-25)*Constants!$C$31/100)*IF(ISBLANK(Design!$B$40),Constants!$C$6/1000,Design!$B$40/1000))</f>
        <v>7.5749606711057194</v>
      </c>
      <c r="AU19" s="162">
        <f ca="1">IF(AT19&gt;Design!$C$28,Design!$C$28,AT19)</f>
        <v>3.3239005736137672</v>
      </c>
    </row>
    <row r="20" spans="1:47" s="163" customFormat="1" ht="12.75" customHeight="1">
      <c r="A20" s="155">
        <f>Design!$D$13</f>
        <v>85</v>
      </c>
      <c r="B20" s="156">
        <f t="shared" si="0"/>
        <v>8.7200000000000006</v>
      </c>
      <c r="C20" s="157">
        <f>Design!$D$6</f>
        <v>3.5</v>
      </c>
      <c r="D20" s="157">
        <f ca="1">FORECAST(C20, OFFSET(Design!$C$15:$C$17,MATCH(C20,Design!$B$15:$B$17,1)-1,0,2), OFFSET(Design!$B$15:$B$17,MATCH(C20,Design!$B$15:$B$17,1)-1,0,2))+(M20-25)*Design!$B$18/1000</f>
        <v>0.39360542512212615</v>
      </c>
      <c r="E20" s="216">
        <f ca="1">IF(100*(Design!$C$28+D20+C20*IF(ISBLANK(Design!$B$40),Constants!$C$6,Design!$B$40)/1000*(1+Constants!$C$31/100*(N20-25)))/($B20+D20-C20*O20/1000)&gt;Design!$C$35,Design!$C$35,100*(Design!$C$28+D20+C20*IF(ISBLANK(Design!$B$40),Constants!$C$6,Design!$B$40)/1000*(1+Constants!$C$31/100*(N20-25)))/($B20+D20-C20*O20/1000))</f>
        <v>44.100635388752991</v>
      </c>
      <c r="F20" s="158">
        <f ca="1">IF(($B20-C20*IF(ISBLANK(Design!$B$40),Constants!$C$6,Design!$B$40)/1000*(1+Constants!$C$31/100*(N20-25))-Design!$C$28)/(IF(ISBLANK(Design!$B$39),Design!$B$38,Design!$B$39)/1000000)*E20/100/(IF(ISBLANK(Design!$B$32),Design!$B$31,Design!$B$32)*1000000)&lt;0, 0, ($B20-C20*IF(ISBLANK(Design!$B$40),Constants!$C$6,Design!$B$40)/1000*(1+Constants!$C$31/100*(N20-25))-Design!$C$28)/(IF(ISBLANK(Design!$B$39),Design!$B$38,Design!$B$39)/1000000)*E20/100/(IF(ISBLANK(Design!$B$32),Design!$B$31,Design!$B$32)*1000000))</f>
        <v>0.53109388727846407</v>
      </c>
      <c r="G20" s="208">
        <f>B20*Constants!$C$18/1000+IF(ISBLANK(Design!$B$32),Design!$B$31,Design!$B$32)*1000000*Constants!$D$22/1000000000*(B20-Constants!$C$21)</f>
        <v>6.336E-2</v>
      </c>
      <c r="H20" s="208">
        <f>B20*C20*(B20/(Constants!$C$23*1000000000)*IF(ISBLANK(Design!$B$32),Design!$B$31,Design!$B$32)*1000000/2+B20/(Constants!$C$24*1000000000)*IF(ISBLANK(Design!$B$32),Design!$B$31,Design!$B$32)*1000000/2)</f>
        <v>0.32182919298245616</v>
      </c>
      <c r="I20" s="208">
        <f t="shared" ca="1" si="1"/>
        <v>0.7166747065228618</v>
      </c>
      <c r="J20" s="208">
        <f>Constants!$D$22/1000000000*Constants!$C$21*IF(ISBLANK(Design!$B$32),Design!$B$31,Design!$B$32)*1000000</f>
        <v>4.9999999999999996E-2</v>
      </c>
      <c r="K20" s="208">
        <f t="shared" ca="1" si="4"/>
        <v>1.1518638995053181</v>
      </c>
      <c r="L20" s="208">
        <f t="shared" ca="1" si="5"/>
        <v>0.77008026101533145</v>
      </c>
      <c r="M20" s="209">
        <f ca="1">A20+L20*Design!$B$19</f>
        <v>128.89457487787388</v>
      </c>
      <c r="N20" s="209">
        <f ca="1">K20*Design!$C$12+A20</f>
        <v>124.16337258318082</v>
      </c>
      <c r="O20" s="209">
        <f ca="1">Constants!$D$19+Constants!$D$19*Constants!$C$20/100*(N20-25)</f>
        <v>132.40629234712094</v>
      </c>
      <c r="P20" s="208">
        <f ca="1">(1-Constants!$C$17/1000000000*Design!$B$32*1000000) * ($B20+D20-C20*O20/1000) - (D20+C20*(1+($A20-25)*Constants!$C$31/100)*IF(ISBLANK(Design!$B$40),Constants!$C$6/1000,Design!$B$40/1000))</f>
        <v>7.0455481345371425</v>
      </c>
      <c r="Q20" s="214">
        <f ca="1">IF(P20&gt;Design!$C$28,Design!$C$28,P20)</f>
        <v>3.3239005736137672</v>
      </c>
      <c r="R20" s="224">
        <f>2*Design!$D$6/3</f>
        <v>2.3333333333333335</v>
      </c>
      <c r="S20" s="159">
        <f ca="1">FORECAST(R20, OFFSET(Design!$C$15:$C$17,MATCH(R20,Design!$B$15:$B$17,1)-1,0,2), OFFSET(Design!$B$15:$B$17,MATCH(R20,Design!$B$15:$B$17,1)-1,0,2))+(AB20-25)*Design!$B$18/1000</f>
        <v>0.37942821190289056</v>
      </c>
      <c r="T20" s="225">
        <f ca="1">IF(100*(Design!$C$28+S20+R20*IF(ISBLANK(Design!$B$40),Constants!$C$6,Design!$B$40)/1000*(1+Constants!$C$31/100*(AC20-25)))/($B20+S20-R20*AD20/1000)&gt;Design!$C$35,Design!$C$35,100*(Design!$C$28+S20+R20*IF(ISBLANK(Design!$B$40),Constants!$C$6,Design!$B$40)/1000*(1+Constants!$C$31/100*(AC20-25)))/($B20+S20-R20*AD20/1000))</f>
        <v>42.721249168962586</v>
      </c>
      <c r="U20" s="160">
        <f ca="1">IF(($B20-R20*IF(ISBLANK(Design!$B$40),Constants!$C$6,Design!$B$40)/1000*(1+Constants!$C$31/100*(AC20-25))-Design!$C$28)/(Design!$B$39/1000000)*T20/100/(IF(ISBLANK(IF(ISBLANK(Design!$B$39),Design!$B$38,Design!$B$39)),Design!$B$31,Design!$B$32)*1000000)&lt;0,0,($B20-R20*IF(ISBLANK(Design!$B$40),Constants!$C$6,Design!$B$40)/1000*(1+Constants!$C$31/100*(AC20-25))-Design!$C$28)/(IF(ISBLANK(Design!$B$39),Design!$B$38,Design!$B$39)/1000000)*T20/100/(IF(ISBLANK(Design!$B$32),Design!$B$31,Design!$B$32)*1000000))</f>
        <v>0.51795568393619473</v>
      </c>
      <c r="V20" s="226">
        <f>$B20*Constants!$C$18/1000+IF(ISBLANK(Design!$B$32),Design!$B$31,Design!$B$32)*1000000*Constants!$D$22/1000000000*($B20-Constants!$C$21)</f>
        <v>6.336E-2</v>
      </c>
      <c r="W20" s="226">
        <f>$B20*R20*($B20/(Constants!$C$23*1000000000)*IF(ISBLANK(Design!$B$32),Design!$B$31,Design!$B$32)*1000000/2+$B20/(Constants!$C$24*1000000000)*IF(ISBLANK(Design!$B$32),Design!$B$31,Design!$B$32)*1000000/2)</f>
        <v>0.21455279532163749</v>
      </c>
      <c r="X20" s="226">
        <f t="shared" ca="1" si="2"/>
        <v>0.2871353317594651</v>
      </c>
      <c r="Y20" s="226">
        <f>Constants!$D$22/1000000000*Constants!$C$21*IF(ISBLANK(Design!$B$32),Design!$B$31,Design!$B$32)*1000000</f>
        <v>4.9999999999999996E-2</v>
      </c>
      <c r="Z20" s="226">
        <f t="shared" ca="1" si="10"/>
        <v>0.61504812708110257</v>
      </c>
      <c r="AA20" s="226">
        <f t="shared" ca="1" si="7"/>
        <v>0.50710739351654044</v>
      </c>
      <c r="AB20" s="227">
        <f ca="1">$A20+AA20*Design!$B$19</f>
        <v>113.9051214304428</v>
      </c>
      <c r="AC20" s="227">
        <f ca="1">Z20*Design!$C$12+$A20</f>
        <v>105.91163632075748</v>
      </c>
      <c r="AD20" s="227">
        <f ca="1">Constants!$D$19+Constants!$D$19*Constants!$C$20/100*(AC20-25)</f>
        <v>122.94459226868068</v>
      </c>
      <c r="AE20" s="226">
        <f ca="1">(1-Constants!$C$17/1000000000*Design!$B$32*1000000) * ($B20+S20-R20*AD20/1000) - (S20+R20*(1+($A20-25)*Constants!$C$31/100)*IF(ISBLANK(Design!$B$40),Constants!$C$6/1000,Design!$B$40/1000))</f>
        <v>7.229826143480536</v>
      </c>
      <c r="AF20" s="160">
        <f ca="1">IF(AE20&gt;Design!$C$28,Design!$C$28,AE20)</f>
        <v>3.3239005736137672</v>
      </c>
      <c r="AG20" s="161">
        <f>Design!$D$6/3</f>
        <v>1.1666666666666667</v>
      </c>
      <c r="AH20" s="161">
        <f ca="1">FORECAST(AG20, OFFSET(Design!$C$15:$C$17,MATCH(AG20,Design!$B$15:$B$17,1)-1,0,2), OFFSET(Design!$B$15:$B$17,MATCH(AG20,Design!$B$15:$B$17,1)-1,0,2))+(AQ20-25)*Design!$B$18/1000</f>
        <v>0.3225881895621559</v>
      </c>
      <c r="AI20" s="239">
        <f ca="1">IF(100*(Design!$C$28+AH20+AG20*IF(ISBLANK(Design!$B$40),Constants!$C$6,Design!$B$40)/1000*(1+Constants!$C$31/100*(AR20-25)))/($B20+AH20-AG20*AS20/1000)&gt;Design!$C$35,Design!$C$35,100*(Design!$C$28+AH20+AG20*IF(ISBLANK(Design!$B$40),Constants!$C$6,Design!$B$40)/1000*(1+Constants!$C$31/100*(AR20-25)))/($B20+AH20-AG20*AS20/1000))</f>
        <v>41.278536617669907</v>
      </c>
      <c r="AJ20" s="162">
        <f ca="1">IF(($B20-AG20*IF(ISBLANK(Design!$B$40),Constants!$C$6,Design!$B$40)/1000*(1+Constants!$C$31/100*(AR20-25))-Design!$C$28)/(IF(ISBLANK(Design!$B$39),Design!$B$38,Design!$B$39)/1000000)*AI20/100/(IF(ISBLANK(Design!$B$32),Design!$B$31,Design!$B$32)*1000000)&lt;0,0,($B20-AG20*IF(ISBLANK(Design!$B$40),Constants!$C$6,Design!$B$40)/1000*(1+Constants!$C$31/100*(AR20-25))-Design!$C$28)/(IF(ISBLANK(Design!$B$39),Design!$B$38,Design!$B$39)/1000000)*AI20/100/(IF(ISBLANK(Design!$B$32),Design!$B$31,Design!$B$32)*1000000))</f>
        <v>0.50344501800463137</v>
      </c>
      <c r="AK20" s="240">
        <f>$B20*Constants!$C$18/1000+IF(ISBLANK(Design!$B$32),Design!$B$31,Design!$B$32)*1000000*Constants!$D$22/1000000000*($B20-Constants!$C$21)</f>
        <v>6.336E-2</v>
      </c>
      <c r="AL20" s="240">
        <f>$B20*AG20*($B20/(Constants!$C$23*1000000000)*IF(ISBLANK(Design!$B$32),Design!$B$31,Design!$B$32)*1000000/2+$B20/(Constants!$C$24*1000000000)*IF(ISBLANK(Design!$B$32),Design!$B$31,Design!$B$32)*1000000/2)</f>
        <v>0.10727639766081874</v>
      </c>
      <c r="AM20" s="240">
        <f t="shared" ca="1" si="3"/>
        <v>6.685382038249528E-2</v>
      </c>
      <c r="AN20" s="240">
        <f>Constants!$D$22/1000000000*Constants!$C$21*IF(ISBLANK(Design!$B$32),Design!$B$31,Design!$B$32)*1000000</f>
        <v>4.9999999999999996E-2</v>
      </c>
      <c r="AO20" s="240">
        <f t="shared" ca="1" si="11"/>
        <v>0.28749021804331398</v>
      </c>
      <c r="AP20" s="240">
        <f t="shared" ca="1" si="9"/>
        <v>0.22099992321104012</v>
      </c>
      <c r="AQ20" s="241">
        <f ca="1">$A20+AP20*Design!$B$19</f>
        <v>97.596995623029287</v>
      </c>
      <c r="AR20" s="241">
        <f ca="1">AO20*Design!$C$12+$A20</f>
        <v>94.77466741347267</v>
      </c>
      <c r="AS20" s="241">
        <f ca="1">Constants!$D$19+Constants!$D$19*Constants!$C$20/100*(AR20-25)</f>
        <v>117.17118758714423</v>
      </c>
      <c r="AT20" s="240">
        <f ca="1">(1-Constants!$C$17/1000000000*Design!$B$32*1000000) * ($B20+AH20-AG20*AS20/1000) - (AH20+AG20*(1+($A20-25)*Constants!$C$31/100)*IF(ISBLANK(Design!$B$40),Constants!$C$6/1000,Design!$B$40/1000))</f>
        <v>7.3966994466226357</v>
      </c>
      <c r="AU20" s="162">
        <f ca="1">IF(AT20&gt;Design!$C$28,Design!$C$28,AT20)</f>
        <v>3.3239005736137672</v>
      </c>
    </row>
    <row r="21" spans="1:47" s="163" customFormat="1" ht="12.75" customHeight="1">
      <c r="A21" s="155">
        <f>Design!$D$13</f>
        <v>85</v>
      </c>
      <c r="B21" s="156">
        <f t="shared" si="0"/>
        <v>8.5150000000000006</v>
      </c>
      <c r="C21" s="157">
        <f>Design!$D$6</f>
        <v>3.5</v>
      </c>
      <c r="D21" s="157">
        <f ca="1">FORECAST(C21, OFFSET(Design!$C$15:$C$17,MATCH(C21,Design!$B$15:$B$17,1)-1,0,2), OFFSET(Design!$B$15:$B$17,MATCH(C21,Design!$B$15:$B$17,1)-1,0,2))+(M21-25)*Design!$B$18/1000</f>
        <v>0.39436659042011046</v>
      </c>
      <c r="E21" s="216">
        <f ca="1">IF(100*(Design!$C$28+D21+C21*IF(ISBLANK(Design!$B$40),Constants!$C$6,Design!$B$40)/1000*(1+Constants!$C$31/100*(N21-25)))/($B21+D21-C21*O21/1000)&gt;Design!$C$35,Design!$C$35,100*(Design!$C$28+D21+C21*IF(ISBLANK(Design!$B$40),Constants!$C$6,Design!$B$40)/1000*(1+Constants!$C$31/100*(N21-25)))/($B21+D21-C21*O21/1000))</f>
        <v>45.175993081420124</v>
      </c>
      <c r="F21" s="158">
        <f ca="1">IF(($B21-C21*IF(ISBLANK(Design!$B$40),Constants!$C$6,Design!$B$40)/1000*(1+Constants!$C$31/100*(N21-25))-Design!$C$28)/(IF(ISBLANK(Design!$B$39),Design!$B$38,Design!$B$39)/1000000)*E21/100/(IF(ISBLANK(Design!$B$32),Design!$B$31,Design!$B$32)*1000000)&lt;0, 0, ($B21-C21*IF(ISBLANK(Design!$B$40),Constants!$C$6,Design!$B$40)/1000*(1+Constants!$C$31/100*(N21-25))-Design!$C$28)/(IF(ISBLANK(Design!$B$39),Design!$B$38,Design!$B$39)/1000000)*E21/100/(IF(ISBLANK(Design!$B$32),Design!$B$31,Design!$B$32)*1000000))</f>
        <v>0.52299646668679622</v>
      </c>
      <c r="G21" s="208">
        <f>B21*Constants!$C$18/1000+IF(ISBLANK(Design!$B$32),Design!$B$31,Design!$B$32)*1000000*Constants!$D$22/1000000000*(B21-Constants!$C$21)</f>
        <v>6.0695000000000013E-2</v>
      </c>
      <c r="H21" s="208">
        <f>B21*C21*(B21/(Constants!$C$23*1000000000)*IF(ISBLANK(Design!$B$32),Design!$B$31,Design!$B$32)*1000000/2+B21/(Constants!$C$24*1000000000)*IF(ISBLANK(Design!$B$32),Design!$B$31,Design!$B$32)*1000000/2)</f>
        <v>0.30687518475877201</v>
      </c>
      <c r="I21" s="208">
        <f t="shared" ca="1" si="1"/>
        <v>0.73408753478197186</v>
      </c>
      <c r="J21" s="208">
        <f>Constants!$D$22/1000000000*Constants!$C$21*IF(ISBLANK(Design!$B$32),Design!$B$31,Design!$B$32)*1000000</f>
        <v>4.9999999999999996E-2</v>
      </c>
      <c r="K21" s="208">
        <f t="shared" ca="1" si="4"/>
        <v>1.1516577195407438</v>
      </c>
      <c r="L21" s="208">
        <f t="shared" ca="1" si="5"/>
        <v>0.75672648385771124</v>
      </c>
      <c r="M21" s="209">
        <f ca="1">A21+L21*Design!$B$19</f>
        <v>128.13340957988953</v>
      </c>
      <c r="N21" s="209">
        <f ca="1">K21*Design!$C$12+A21</f>
        <v>124.1563624643853</v>
      </c>
      <c r="O21" s="209">
        <f ca="1">Constants!$D$19+Constants!$D$19*Constants!$C$20/100*(N21-25)</f>
        <v>132.40265830153734</v>
      </c>
      <c r="P21" s="208">
        <f ca="1">(1-Constants!$C$17/1000000000*Design!$B$32*1000000) * ($B21+D21-C21*O21/1000) - (D21+C21*(1+($A21-25)*Constants!$C$31/100)*IF(ISBLANK(Design!$B$40),Constants!$C$6/1000,Design!$B$40/1000))</f>
        <v>6.8671102487172053</v>
      </c>
      <c r="Q21" s="214">
        <f ca="1">IF(P21&gt;Design!$C$28,Design!$C$28,P21)</f>
        <v>3.3239005736137672</v>
      </c>
      <c r="R21" s="224">
        <f>2*Design!$D$6/3</f>
        <v>2.3333333333333335</v>
      </c>
      <c r="S21" s="159">
        <f ca="1">FORECAST(R21, OFFSET(Design!$C$15:$C$17,MATCH(R21,Design!$B$15:$B$17,1)-1,0,2), OFFSET(Design!$B$15:$B$17,MATCH(R21,Design!$B$15:$B$17,1)-1,0,2))+(AB21-25)*Design!$B$18/1000</f>
        <v>0.37990658306264014</v>
      </c>
      <c r="T21" s="225">
        <f ca="1">IF(100*(Design!$C$28+S21+R21*IF(ISBLANK(Design!$B$40),Constants!$C$6,Design!$B$40)/1000*(1+Constants!$C$31/100*(AC21-25)))/($B21+S21-R21*AD21/1000)&gt;Design!$C$35,Design!$C$35,100*(Design!$C$28+S21+R21*IF(ISBLANK(Design!$B$40),Constants!$C$6,Design!$B$40)/1000*(1+Constants!$C$31/100*(AC21-25)))/($B21+S21-R21*AD21/1000))</f>
        <v>43.740126133570705</v>
      </c>
      <c r="U21" s="160">
        <f ca="1">IF(($B21-R21*IF(ISBLANK(Design!$B$40),Constants!$C$6,Design!$B$40)/1000*(1+Constants!$C$31/100*(AC21-25))-Design!$C$28)/(Design!$B$39/1000000)*T21/100/(IF(ISBLANK(IF(ISBLANK(Design!$B$39),Design!$B$38,Design!$B$39)),Design!$B$31,Design!$B$32)*1000000)&lt;0,0,($B21-R21*IF(ISBLANK(Design!$B$40),Constants!$C$6,Design!$B$40)/1000*(1+Constants!$C$31/100*(AC21-25))-Design!$C$28)/(IF(ISBLANK(Design!$B$39),Design!$B$38,Design!$B$39)/1000000)*T21/100/(IF(ISBLANK(Design!$B$32),Design!$B$31,Design!$B$32)*1000000))</f>
        <v>0.50993347210477524</v>
      </c>
      <c r="V21" s="226">
        <f>$B21*Constants!$C$18/1000+IF(ISBLANK(Design!$B$32),Design!$B$31,Design!$B$32)*1000000*Constants!$D$22/1000000000*($B21-Constants!$C$21)</f>
        <v>6.0695000000000013E-2</v>
      </c>
      <c r="W21" s="226">
        <f>$B21*R21*($B21/(Constants!$C$23*1000000000)*IF(ISBLANK(Design!$B$32),Design!$B$31,Design!$B$32)*1000000/2+$B21/(Constants!$C$24*1000000000)*IF(ISBLANK(Design!$B$32),Design!$B$31,Design!$B$32)*1000000/2)</f>
        <v>0.204583456505848</v>
      </c>
      <c r="X21" s="226">
        <f t="shared" ca="1" si="2"/>
        <v>0.2936901958087248</v>
      </c>
      <c r="Y21" s="226">
        <f>Constants!$D$22/1000000000*Constants!$C$21*IF(ISBLANK(Design!$B$32),Design!$B$31,Design!$B$32)*1000000</f>
        <v>4.9999999999999996E-2</v>
      </c>
      <c r="Z21" s="226">
        <f t="shared" ca="1" si="10"/>
        <v>0.60896865231457287</v>
      </c>
      <c r="AA21" s="226">
        <f t="shared" ca="1" si="7"/>
        <v>0.49871491702970661</v>
      </c>
      <c r="AB21" s="227">
        <f ca="1">$A21+AA21*Design!$B$19</f>
        <v>113.42675027069328</v>
      </c>
      <c r="AC21" s="227">
        <f ca="1">Z21*Design!$C$12+$A21</f>
        <v>105.70493417869548</v>
      </c>
      <c r="AD21" s="227">
        <f ca="1">Constants!$D$19+Constants!$D$19*Constants!$C$20/100*(AC21-25)</f>
        <v>122.83743787823575</v>
      </c>
      <c r="AE21" s="226">
        <f ca="1">(1-Constants!$C$17/1000000000*Design!$B$32*1000000) * ($B21+S21-R21*AD21/1000) - (S21+R21*(1+($A21-25)*Constants!$C$31/100)*IF(ISBLANK(Design!$B$40),Constants!$C$6/1000,Design!$B$40/1000))</f>
        <v>7.0516314786423724</v>
      </c>
      <c r="AF21" s="160">
        <f ca="1">IF(AE21&gt;Design!$C$28,Design!$C$28,AE21)</f>
        <v>3.3239005736137672</v>
      </c>
      <c r="AG21" s="161">
        <f>Design!$D$6/3</f>
        <v>1.1666666666666667</v>
      </c>
      <c r="AH21" s="161">
        <f ca="1">FORECAST(AG21, OFFSET(Design!$C$15:$C$17,MATCH(AG21,Design!$B$15:$B$17,1)-1,0,2), OFFSET(Design!$B$15:$B$17,MATCH(AG21,Design!$B$15:$B$17,1)-1,0,2))+(AQ21-25)*Design!$B$18/1000</f>
        <v>0.32278921025447654</v>
      </c>
      <c r="AI21" s="239">
        <f ca="1">IF(100*(Design!$C$28+AH21+AG21*IF(ISBLANK(Design!$B$40),Constants!$C$6,Design!$B$40)/1000*(1+Constants!$C$31/100*(AR21-25)))/($B21+AH21-AG21*AS21/1000)&gt;Design!$C$35,Design!$C$35,100*(Design!$C$28+AH21+AG21*IF(ISBLANK(Design!$B$40),Constants!$C$6,Design!$B$40)/1000*(1+Constants!$C$31/100*(AR21-25)))/($B21+AH21-AG21*AS21/1000))</f>
        <v>42.251589540798811</v>
      </c>
      <c r="AJ21" s="162">
        <f ca="1">IF(($B21-AG21*IF(ISBLANK(Design!$B$40),Constants!$C$6,Design!$B$40)/1000*(1+Constants!$C$31/100*(AR21-25))-Design!$C$28)/(IF(ISBLANK(Design!$B$39),Design!$B$38,Design!$B$39)/1000000)*AI21/100/(IF(ISBLANK(Design!$B$32),Design!$B$31,Design!$B$32)*1000000)&lt;0,0,($B21-AG21*IF(ISBLANK(Design!$B$40),Constants!$C$6,Design!$B$40)/1000*(1+Constants!$C$31/100*(AR21-25))-Design!$C$28)/(IF(ISBLANK(Design!$B$39),Design!$B$38,Design!$B$39)/1000000)*AI21/100/(IF(ISBLANK(Design!$B$32),Design!$B$31,Design!$B$32)*1000000))</f>
        <v>0.49562910138299321</v>
      </c>
      <c r="AK21" s="240">
        <f>$B21*Constants!$C$18/1000+IF(ISBLANK(Design!$B$32),Design!$B$31,Design!$B$32)*1000000*Constants!$D$22/1000000000*($B21-Constants!$C$21)</f>
        <v>6.0695000000000013E-2</v>
      </c>
      <c r="AL21" s="240">
        <f>$B21*AG21*($B21/(Constants!$C$23*1000000000)*IF(ISBLANK(Design!$B$32),Design!$B$31,Design!$B$32)*1000000/2+$B21/(Constants!$C$24*1000000000)*IF(ISBLANK(Design!$B$32),Design!$B$31,Design!$B$32)*1000000/2)</f>
        <v>0.102291728252924</v>
      </c>
      <c r="AM21" s="240">
        <f t="shared" ca="1" si="3"/>
        <v>6.8334064771289046E-2</v>
      </c>
      <c r="AN21" s="240">
        <f>Constants!$D$22/1000000000*Constants!$C$21*IF(ISBLANK(Design!$B$32),Design!$B$31,Design!$B$32)*1000000</f>
        <v>4.9999999999999996E-2</v>
      </c>
      <c r="AO21" s="240">
        <f t="shared" ca="1" si="11"/>
        <v>0.28132079302421303</v>
      </c>
      <c r="AP21" s="240">
        <f t="shared" ca="1" si="9"/>
        <v>0.21747324439839721</v>
      </c>
      <c r="AQ21" s="241">
        <f ca="1">$A21+AP21*Design!$B$19</f>
        <v>97.395974930708647</v>
      </c>
      <c r="AR21" s="241">
        <f ca="1">AO21*Design!$C$12+$A21</f>
        <v>94.564906962823244</v>
      </c>
      <c r="AS21" s="241">
        <f ca="1">Constants!$D$19+Constants!$D$19*Constants!$C$20/100*(AR21-25)</f>
        <v>117.06244776952758</v>
      </c>
      <c r="AT21" s="240">
        <f ca="1">(1-Constants!$C$17/1000000000*Design!$B$32*1000000) * ($B21+AH21-AG21*AS21/1000) - (AH21+AG21*(1+($A21-25)*Constants!$C$31/100)*IF(ISBLANK(Design!$B$40),Constants!$C$6/1000,Design!$B$40/1000))</f>
        <v>7.2184336848475157</v>
      </c>
      <c r="AU21" s="162">
        <f ca="1">IF(AT21&gt;Design!$C$28,Design!$C$28,AT21)</f>
        <v>3.3239005736137672</v>
      </c>
    </row>
    <row r="22" spans="1:47" s="163" customFormat="1" ht="12.75" customHeight="1">
      <c r="A22" s="155">
        <f>Design!$D$13</f>
        <v>85</v>
      </c>
      <c r="B22" s="156">
        <f t="shared" si="0"/>
        <v>8.31</v>
      </c>
      <c r="C22" s="157">
        <f>Design!$D$6</f>
        <v>3.5</v>
      </c>
      <c r="D22" s="157">
        <f ca="1">FORECAST(C22, OFFSET(Design!$C$15:$C$17,MATCH(C22,Design!$B$15:$B$17,1)-1,0,2), OFFSET(Design!$B$15:$B$17,MATCH(C22,Design!$B$15:$B$17,1)-1,0,2))+(M22-25)*Design!$B$18/1000</f>
        <v>0.39516929236583026</v>
      </c>
      <c r="E22" s="216">
        <f ca="1">IF(100*(Design!$C$28+D22+C22*IF(ISBLANK(Design!$B$40),Constants!$C$6,Design!$B$40)/1000*(1+Constants!$C$31/100*(N22-25)))/($B22+D22-C22*O22/1000)&gt;Design!$C$35,Design!$C$35,100*(Design!$C$28+D22+C22*IF(ISBLANK(Design!$B$40),Constants!$C$6,Design!$B$40)/1000*(1+Constants!$C$31/100*(N22-25)))/($B22+D22-C22*O22/1000))</f>
        <v>46.305544923304986</v>
      </c>
      <c r="F22" s="158">
        <f ca="1">IF(($B22-C22*IF(ISBLANK(Design!$B$40),Constants!$C$6,Design!$B$40)/1000*(1+Constants!$C$31/100*(N22-25))-Design!$C$28)/(IF(ISBLANK(Design!$B$39),Design!$B$38,Design!$B$39)/1000000)*E22/100/(IF(ISBLANK(Design!$B$32),Design!$B$31,Design!$B$32)*1000000)&lt;0, 0, ($B22-C22*IF(ISBLANK(Design!$B$40),Constants!$C$6,Design!$B$40)/1000*(1+Constants!$C$31/100*(N22-25))-Design!$C$28)/(IF(ISBLANK(Design!$B$39),Design!$B$38,Design!$B$39)/1000000)*E22/100/(IF(ISBLANK(Design!$B$32),Design!$B$31,Design!$B$32)*1000000))</f>
        <v>0.51449781926153537</v>
      </c>
      <c r="G22" s="208">
        <f>B22*Constants!$C$18/1000+IF(ISBLANK(Design!$B$32),Design!$B$31,Design!$B$32)*1000000*Constants!$D$22/1000000000*(B22-Constants!$C$21)</f>
        <v>5.8030000000000005E-2</v>
      </c>
      <c r="H22" s="208">
        <f>B22*C22*(B22/(Constants!$C$23*1000000000)*IF(ISBLANK(Design!$B$32),Design!$B$31,Design!$B$32)*1000000/2+B22/(Constants!$C$24*1000000000)*IF(ISBLANK(Design!$B$32),Design!$B$31,Design!$B$32)*1000000/2)</f>
        <v>0.29227691447368426</v>
      </c>
      <c r="I22" s="208">
        <f t="shared" ca="1" si="1"/>
        <v>0.7525136110986953</v>
      </c>
      <c r="J22" s="208">
        <f>Constants!$D$22/1000000000*Constants!$C$21*IF(ISBLANK(Design!$B$32),Design!$B$31,Design!$B$32)*1000000</f>
        <v>4.9999999999999996E-2</v>
      </c>
      <c r="K22" s="208">
        <f t="shared" ca="1" si="4"/>
        <v>1.1528205255723796</v>
      </c>
      <c r="L22" s="208">
        <f t="shared" ca="1" si="5"/>
        <v>0.74264399358192501</v>
      </c>
      <c r="M22" s="209">
        <f ca="1">A22+L22*Design!$B$19</f>
        <v>127.33070763416973</v>
      </c>
      <c r="N22" s="209">
        <f ca="1">K22*Design!$C$12+A22</f>
        <v>124.19589786946091</v>
      </c>
      <c r="O22" s="209">
        <f ca="1">Constants!$D$19+Constants!$D$19*Constants!$C$20/100*(N22-25)</f>
        <v>132.42315345552854</v>
      </c>
      <c r="P22" s="208">
        <f ca="1">(1-Constants!$C$17/1000000000*Design!$B$32*1000000) * ($B22+D22-C22*O22/1000) - (D22+C22*(1+($A22-25)*Constants!$C$31/100)*IF(ISBLANK(Design!$B$40),Constants!$C$6/1000,Design!$B$40/1000))</f>
        <v>6.6885934897203576</v>
      </c>
      <c r="Q22" s="214">
        <f ca="1">IF(P22&gt;Design!$C$28,Design!$C$28,P22)</f>
        <v>3.3239005736137672</v>
      </c>
      <c r="R22" s="224">
        <f>2*Design!$D$6/3</f>
        <v>2.3333333333333335</v>
      </c>
      <c r="S22" s="159">
        <f ca="1">FORECAST(R22, OFFSET(Design!$C$15:$C$17,MATCH(R22,Design!$B$15:$B$17,1)-1,0,2), OFFSET(Design!$B$15:$B$17,MATCH(R22,Design!$B$15:$B$17,1)-1,0,2))+(AB22-25)*Design!$B$18/1000</f>
        <v>0.38040966352974348</v>
      </c>
      <c r="T22" s="225">
        <f ca="1">IF(100*(Design!$C$28+S22+R22*IF(ISBLANK(Design!$B$40),Constants!$C$6,Design!$B$40)/1000*(1+Constants!$C$31/100*(AC22-25)))/($B22+S22-R22*AD22/1000)&gt;Design!$C$35,Design!$C$35,100*(Design!$C$28+S22+R22*IF(ISBLANK(Design!$B$40),Constants!$C$6,Design!$B$40)/1000*(1+Constants!$C$31/100*(AC22-25)))/($B22+S22-R22*AD22/1000))</f>
        <v>44.808866685939492</v>
      </c>
      <c r="U22" s="160">
        <f ca="1">IF(($B22-R22*IF(ISBLANK(Design!$B$40),Constants!$C$6,Design!$B$40)/1000*(1+Constants!$C$31/100*(AC22-25))-Design!$C$28)/(Design!$B$39/1000000)*T22/100/(IF(ISBLANK(IF(ISBLANK(Design!$B$39),Design!$B$38,Design!$B$39)),Design!$B$31,Design!$B$32)*1000000)&lt;0,0,($B22-R22*IF(ISBLANK(Design!$B$40),Constants!$C$6,Design!$B$40)/1000*(1+Constants!$C$31/100*(AC22-25))-Design!$C$28)/(IF(ISBLANK(Design!$B$39),Design!$B$38,Design!$B$39)/1000000)*T22/100/(IF(ISBLANK(Design!$B$32),Design!$B$31,Design!$B$32)*1000000))</f>
        <v>0.50151975294564177</v>
      </c>
      <c r="V22" s="226">
        <f>$B22*Constants!$C$18/1000+IF(ISBLANK(Design!$B$32),Design!$B$31,Design!$B$32)*1000000*Constants!$D$22/1000000000*($B22-Constants!$C$21)</f>
        <v>5.8030000000000005E-2</v>
      </c>
      <c r="W22" s="226">
        <f>$B22*R22*($B22/(Constants!$C$23*1000000000)*IF(ISBLANK(Design!$B$32),Design!$B$31,Design!$B$32)*1000000/2+$B22/(Constants!$C$24*1000000000)*IF(ISBLANK(Design!$B$32),Design!$B$31,Design!$B$32)*1000000/2)</f>
        <v>0.19485127631578955</v>
      </c>
      <c r="X22" s="226">
        <f t="shared" ca="1" si="2"/>
        <v>0.30058984959458446</v>
      </c>
      <c r="Y22" s="226">
        <f>Constants!$D$22/1000000000*Constants!$C$21*IF(ISBLANK(Design!$B$32),Design!$B$31,Design!$B$32)*1000000</f>
        <v>4.9999999999999996E-2</v>
      </c>
      <c r="Z22" s="226">
        <f t="shared" ca="1" si="10"/>
        <v>0.603471125910374</v>
      </c>
      <c r="AA22" s="226">
        <f t="shared" ca="1" si="7"/>
        <v>0.48988894392262949</v>
      </c>
      <c r="AB22" s="227">
        <f ca="1">$A22+AA22*Design!$B$19</f>
        <v>112.92366980358989</v>
      </c>
      <c r="AC22" s="227">
        <f ca="1">Z22*Design!$C$12+$A22</f>
        <v>105.51801828095272</v>
      </c>
      <c r="AD22" s="227">
        <f ca="1">Constants!$D$19+Constants!$D$19*Constants!$C$20/100*(AC22-25)</f>
        <v>122.7405406768459</v>
      </c>
      <c r="AE22" s="226">
        <f ca="1">(1-Constants!$C$17/1000000000*Design!$B$32*1000000) * ($B22+S22-R22*AD22/1000) - (S22+R22*(1+($A22-25)*Constants!$C$31/100)*IF(ISBLANK(Design!$B$40),Constants!$C$6/1000,Design!$B$40/1000))</f>
        <v>6.8734127795004705</v>
      </c>
      <c r="AF22" s="160">
        <f ca="1">IF(AE22&gt;Design!$C$28,Design!$C$28,AE22)</f>
        <v>3.3239005736137672</v>
      </c>
      <c r="AG22" s="161">
        <f>Design!$D$6/3</f>
        <v>1.1666666666666667</v>
      </c>
      <c r="AH22" s="161">
        <f ca="1">FORECAST(AG22, OFFSET(Design!$C$15:$C$17,MATCH(AG22,Design!$B$15:$B$17,1)-1,0,2), OFFSET(Design!$B$15:$B$17,MATCH(AG22,Design!$B$15:$B$17,1)-1,0,2))+(AQ22-25)*Design!$B$18/1000</f>
        <v>0.323000204147187</v>
      </c>
      <c r="AI22" s="239">
        <f ca="1">IF(100*(Design!$C$28+AH22+AG22*IF(ISBLANK(Design!$B$40),Constants!$C$6,Design!$B$40)/1000*(1+Constants!$C$31/100*(AR22-25)))/($B22+AH22-AG22*AS22/1000)&gt;Design!$C$35,Design!$C$35,100*(Design!$C$28+AH22+AG22*IF(ISBLANK(Design!$B$40),Constants!$C$6,Design!$B$40)/1000*(1+Constants!$C$31/100*(AR22-25)))/($B22+AH22-AG22*AS22/1000))</f>
        <v>43.271615555888097</v>
      </c>
      <c r="AJ22" s="162">
        <f ca="1">IF(($B22-AG22*IF(ISBLANK(Design!$B$40),Constants!$C$6,Design!$B$40)/1000*(1+Constants!$C$31/100*(AR22-25))-Design!$C$28)/(IF(ISBLANK(Design!$B$39),Design!$B$38,Design!$B$39)/1000000)*AI22/100/(IF(ISBLANK(Design!$B$32),Design!$B$31,Design!$B$32)*1000000)&lt;0,0,($B22-AG22*IF(ISBLANK(Design!$B$40),Constants!$C$6,Design!$B$40)/1000*(1+Constants!$C$31/100*(AR22-25))-Design!$C$28)/(IF(ISBLANK(Design!$B$39),Design!$B$38,Design!$B$39)/1000000)*AI22/100/(IF(ISBLANK(Design!$B$32),Design!$B$31,Design!$B$32)*1000000))</f>
        <v>0.48743563403970752</v>
      </c>
      <c r="AK22" s="240">
        <f>$B22*Constants!$C$18/1000+IF(ISBLANK(Design!$B$32),Design!$B$31,Design!$B$32)*1000000*Constants!$D$22/1000000000*($B22-Constants!$C$21)</f>
        <v>5.8030000000000005E-2</v>
      </c>
      <c r="AL22" s="240">
        <f>$B22*AG22*($B22/(Constants!$C$23*1000000000)*IF(ISBLANK(Design!$B$32),Design!$B$31,Design!$B$32)*1000000/2+$B22/(Constants!$C$24*1000000000)*IF(ISBLANK(Design!$B$32),Design!$B$31,Design!$B$32)*1000000/2)</f>
        <v>9.7425638157894776E-2</v>
      </c>
      <c r="AM22" s="240">
        <f t="shared" ca="1" si="3"/>
        <v>6.9886801501246001E-2</v>
      </c>
      <c r="AN22" s="240">
        <f>Constants!$D$22/1000000000*Constants!$C$21*IF(ISBLANK(Design!$B$32),Design!$B$31,Design!$B$32)*1000000</f>
        <v>4.9999999999999996E-2</v>
      </c>
      <c r="AO22" s="240">
        <f t="shared" ca="1" si="11"/>
        <v>0.27534243965914079</v>
      </c>
      <c r="AP22" s="240">
        <f t="shared" ca="1" si="9"/>
        <v>0.21377159715786295</v>
      </c>
      <c r="AQ22" s="241">
        <f ca="1">$A22+AP22*Design!$B$19</f>
        <v>97.184981037998185</v>
      </c>
      <c r="AR22" s="241">
        <f ca="1">AO22*Design!$C$12+$A22</f>
        <v>94.36164294841079</v>
      </c>
      <c r="AS22" s="241">
        <f ca="1">Constants!$D$19+Constants!$D$19*Constants!$C$20/100*(AR22-25)</f>
        <v>116.95707570445616</v>
      </c>
      <c r="AT22" s="240">
        <f ca="1">(1-Constants!$C$17/1000000000*Design!$B$32*1000000) * ($B22+AH22-AG22*AS22/1000) - (AH22+AG22*(1+($A22-25)*Constants!$C$31/100)*IF(ISBLANK(Design!$B$40),Constants!$C$6/1000,Design!$B$40/1000))</f>
        <v>7.0401632082875096</v>
      </c>
      <c r="AU22" s="162">
        <f ca="1">IF(AT22&gt;Design!$C$28,Design!$C$28,AT22)</f>
        <v>3.3239005736137672</v>
      </c>
    </row>
    <row r="23" spans="1:47" s="163" customFormat="1" ht="12.75" customHeight="1">
      <c r="A23" s="155">
        <f>Design!$D$13</f>
        <v>85</v>
      </c>
      <c r="B23" s="156">
        <f t="shared" si="0"/>
        <v>8.1050000000000004</v>
      </c>
      <c r="C23" s="157">
        <f>Design!$D$6</f>
        <v>3.5</v>
      </c>
      <c r="D23" s="157">
        <f ca="1">FORECAST(C23, OFFSET(Design!$C$15:$C$17,MATCH(C23,Design!$B$15:$B$17,1)-1,0,2), OFFSET(Design!$B$15:$B$17,MATCH(C23,Design!$B$15:$B$17,1)-1,0,2))+(M23-25)*Design!$B$18/1000</f>
        <v>0.39601703520441728</v>
      </c>
      <c r="E23" s="216">
        <f ca="1">IF(100*(Design!$C$28+D23+C23*IF(ISBLANK(Design!$B$40),Constants!$C$6,Design!$B$40)/1000*(1+Constants!$C$31/100*(N23-25)))/($B23+D23-C23*O23/1000)&gt;Design!$C$35,Design!$C$35,100*(Design!$C$28+D23+C23*IF(ISBLANK(Design!$B$40),Constants!$C$6,Design!$B$40)/1000*(1+Constants!$C$31/100*(N23-25)))/($B23+D23-C23*O23/1000))</f>
        <v>47.493506050275094</v>
      </c>
      <c r="F23" s="158">
        <f ca="1">IF(($B23-C23*IF(ISBLANK(Design!$B$40),Constants!$C$6,Design!$B$40)/1000*(1+Constants!$C$31/100*(N23-25))-Design!$C$28)/(IF(ISBLANK(Design!$B$39),Design!$B$38,Design!$B$39)/1000000)*E23/100/(IF(ISBLANK(Design!$B$32),Design!$B$31,Design!$B$32)*1000000)&lt;0, 0, ($B23-C23*IF(ISBLANK(Design!$B$40),Constants!$C$6,Design!$B$40)/1000*(1+Constants!$C$31/100*(N23-25))-Design!$C$28)/(IF(ISBLANK(Design!$B$39),Design!$B$38,Design!$B$39)/1000000)*E23/100/(IF(ISBLANK(Design!$B$32),Design!$B$31,Design!$B$32)*1000000))</f>
        <v>0.50556687526741861</v>
      </c>
      <c r="G23" s="208">
        <f>B23*Constants!$C$18/1000+IF(ISBLANK(Design!$B$32),Design!$B$31,Design!$B$32)*1000000*Constants!$D$22/1000000000*(B23-Constants!$C$21)</f>
        <v>5.5365000000000004E-2</v>
      </c>
      <c r="H23" s="208">
        <f>B23*C23*(B23/(Constants!$C$23*1000000000)*IF(ISBLANK(Design!$B$32),Design!$B$31,Design!$B$32)*1000000/2+B23/(Constants!$C$24*1000000000)*IF(ISBLANK(Design!$B$32),Design!$B$31,Design!$B$32)*1000000/2)</f>
        <v>0.278034382127193</v>
      </c>
      <c r="I23" s="208">
        <f t="shared" ca="1" si="1"/>
        <v>0.77204055134396443</v>
      </c>
      <c r="J23" s="208">
        <f>Constants!$D$22/1000000000*Constants!$C$21*IF(ISBLANK(Design!$B$32),Design!$B$31,Design!$B$32)*1000000</f>
        <v>4.9999999999999996E-2</v>
      </c>
      <c r="K23" s="208">
        <f t="shared" ca="1" si="4"/>
        <v>1.1554399334711574</v>
      </c>
      <c r="L23" s="208">
        <f t="shared" ca="1" si="5"/>
        <v>0.72777131220320568</v>
      </c>
      <c r="M23" s="209">
        <f ca="1">A23+L23*Design!$B$19</f>
        <v>126.48296479558272</v>
      </c>
      <c r="N23" s="209">
        <f ca="1">K23*Design!$C$12+A23</f>
        <v>124.28495773801936</v>
      </c>
      <c r="O23" s="209">
        <f ca="1">Constants!$D$19+Constants!$D$19*Constants!$C$20/100*(N23-25)</f>
        <v>132.46932209138924</v>
      </c>
      <c r="P23" s="208">
        <f ca="1">(1-Constants!$C$17/1000000000*Design!$B$32*1000000) * ($B23+D23-C23*O23/1000) - (D23+C23*(1+($A23-25)*Constants!$C$31/100)*IF(ISBLANK(Design!$B$40),Constants!$C$6/1000,Design!$B$40/1000))</f>
        <v>6.5099926996551458</v>
      </c>
      <c r="Q23" s="214">
        <f ca="1">IF(P23&gt;Design!$C$28,Design!$C$28,P23)</f>
        <v>3.3239005736137672</v>
      </c>
      <c r="R23" s="224">
        <f>2*Design!$D$6/3</f>
        <v>2.3333333333333335</v>
      </c>
      <c r="S23" s="159">
        <f ca="1">FORECAST(R23, OFFSET(Design!$C$15:$C$17,MATCH(R23,Design!$B$15:$B$17,1)-1,0,2), OFFSET(Design!$B$15:$B$17,MATCH(R23,Design!$B$15:$B$17,1)-1,0,2))+(AB23-25)*Design!$B$18/1000</f>
        <v>0.38093941626855049</v>
      </c>
      <c r="T23" s="225">
        <f ca="1">IF(100*(Design!$C$28+S23+R23*IF(ISBLANK(Design!$B$40),Constants!$C$6,Design!$B$40)/1000*(1+Constants!$C$31/100*(AC23-25)))/($B23+S23-R23*AD23/1000)&gt;Design!$C$35,Design!$C$35,100*(Design!$C$28+S23+R23*IF(ISBLANK(Design!$B$40),Constants!$C$6,Design!$B$40)/1000*(1+Constants!$C$31/100*(AC23-25)))/($B23+S23-R23*AD23/1000))</f>
        <v>45.931218340039898</v>
      </c>
      <c r="U23" s="160">
        <f ca="1">IF(($B23-R23*IF(ISBLANK(Design!$B$40),Constants!$C$6,Design!$B$40)/1000*(1+Constants!$C$31/100*(AC23-25))-Design!$C$28)/(Design!$B$39/1000000)*T23/100/(IF(ISBLANK(IF(ISBLANK(Design!$B$39),Design!$B$38,Design!$B$39)),Design!$B$31,Design!$B$32)*1000000)&lt;0,0,($B23-R23*IF(ISBLANK(Design!$B$40),Constants!$C$6,Design!$B$40)/1000*(1+Constants!$C$31/100*(AC23-25))-Design!$C$28)/(IF(ISBLANK(Design!$B$39),Design!$B$38,Design!$B$39)/1000000)*T23/100/(IF(ISBLANK(Design!$B$32),Design!$B$31,Design!$B$32)*1000000))</f>
        <v>0.49268499638061108</v>
      </c>
      <c r="V23" s="226">
        <f>$B23*Constants!$C$18/1000+IF(ISBLANK(Design!$B$32),Design!$B$31,Design!$B$32)*1000000*Constants!$D$22/1000000000*($B23-Constants!$C$21)</f>
        <v>5.5365000000000004E-2</v>
      </c>
      <c r="W23" s="226">
        <f>$B23*R23*($B23/(Constants!$C$23*1000000000)*IF(ISBLANK(Design!$B$32),Design!$B$31,Design!$B$32)*1000000/2+$B23/(Constants!$C$24*1000000000)*IF(ISBLANK(Design!$B$32),Design!$B$31,Design!$B$32)*1000000/2)</f>
        <v>0.18535625475146203</v>
      </c>
      <c r="X23" s="226">
        <f t="shared" ca="1" si="2"/>
        <v>0.30786135043072665</v>
      </c>
      <c r="Y23" s="226">
        <f>Constants!$D$22/1000000000*Constants!$C$21*IF(ISBLANK(Design!$B$32),Design!$B$31,Design!$B$32)*1000000</f>
        <v>4.9999999999999996E-2</v>
      </c>
      <c r="Z23" s="226">
        <f t="shared" ca="1" si="10"/>
        <v>0.59858260518218875</v>
      </c>
      <c r="AA23" s="226">
        <f t="shared" ca="1" si="7"/>
        <v>0.48059503622426125</v>
      </c>
      <c r="AB23" s="227">
        <f ca="1">$A23+AA23*Design!$B$19</f>
        <v>112.3939170647829</v>
      </c>
      <c r="AC23" s="227">
        <f ca="1">Z23*Design!$C$12+$A23</f>
        <v>105.35180857619441</v>
      </c>
      <c r="AD23" s="227">
        <f ca="1">Constants!$D$19+Constants!$D$19*Constants!$C$20/100*(AC23-25)</f>
        <v>122.65437756589918</v>
      </c>
      <c r="AE23" s="226">
        <f ca="1">(1-Constants!$C$17/1000000000*Design!$B$32*1000000) * ($B23+S23-R23*AD23/1000) - (S23+R23*(1+($A23-25)*Constants!$C$31/100)*IF(ISBLANK(Design!$B$40),Constants!$C$6/1000,Design!$B$40/1000))</f>
        <v>6.695168822759646</v>
      </c>
      <c r="AF23" s="160">
        <f ca="1">IF(AE23&gt;Design!$C$28,Design!$C$28,AE23)</f>
        <v>3.3239005736137672</v>
      </c>
      <c r="AG23" s="161">
        <f>Design!$D$6/3</f>
        <v>1.1666666666666667</v>
      </c>
      <c r="AH23" s="161">
        <f ca="1">FORECAST(AG23, OFFSET(Design!$C$15:$C$17,MATCH(AG23,Design!$B$15:$B$17,1)-1,0,2), OFFSET(Design!$B$15:$B$17,MATCH(AG23,Design!$B$15:$B$17,1)-1,0,2))+(AQ23-25)*Design!$B$18/1000</f>
        <v>0.32322193157998014</v>
      </c>
      <c r="AI23" s="239">
        <f ca="1">IF(100*(Design!$C$28+AH23+AG23*IF(ISBLANK(Design!$B$40),Constants!$C$6,Design!$B$40)/1000*(1+Constants!$C$31/100*(AR23-25)))/($B23+AH23-AG23*AS23/1000)&gt;Design!$C$35,Design!$C$35,100*(Design!$C$28+AH23+AG23*IF(ISBLANK(Design!$B$40),Constants!$C$6,Design!$B$40)/1000*(1+Constants!$C$31/100*(AR23-25)))/($B23+AH23-AG23*AS23/1000))</f>
        <v>44.3420965975832</v>
      </c>
      <c r="AJ23" s="162">
        <f ca="1">IF(($B23-AG23*IF(ISBLANK(Design!$B$40),Constants!$C$6,Design!$B$40)/1000*(1+Constants!$C$31/100*(AR23-25))-Design!$C$28)/(IF(ISBLANK(Design!$B$39),Design!$B$38,Design!$B$39)/1000000)*AI23/100/(IF(ISBLANK(Design!$B$32),Design!$B$31,Design!$B$32)*1000000)&lt;0,0,($B23-AG23*IF(ISBLANK(Design!$B$40),Constants!$C$6,Design!$B$40)/1000*(1+Constants!$C$31/100*(AR23-25))-Design!$C$28)/(IF(ISBLANK(Design!$B$39),Design!$B$38,Design!$B$39)/1000000)*AI23/100/(IF(ISBLANK(Design!$B$32),Design!$B$31,Design!$B$32)*1000000))</f>
        <v>0.4788365608677192</v>
      </c>
      <c r="AK23" s="240">
        <f>$B23*Constants!$C$18/1000+IF(ISBLANK(Design!$B$32),Design!$B$31,Design!$B$32)*1000000*Constants!$D$22/1000000000*($B23-Constants!$C$21)</f>
        <v>5.5365000000000004E-2</v>
      </c>
      <c r="AL23" s="240">
        <f>$B23*AG23*($B23/(Constants!$C$23*1000000000)*IF(ISBLANK(Design!$B$32),Design!$B$31,Design!$B$32)*1000000/2+$B23/(Constants!$C$24*1000000000)*IF(ISBLANK(Design!$B$32),Design!$B$31,Design!$B$32)*1000000/2)</f>
        <v>9.2678127375731015E-2</v>
      </c>
      <c r="AM23" s="240">
        <f t="shared" ca="1" si="3"/>
        <v>7.1517426114753854E-2</v>
      </c>
      <c r="AN23" s="240">
        <f>Constants!$D$22/1000000000*Constants!$C$21*IF(ISBLANK(Design!$B$32),Design!$B$31,Design!$B$32)*1000000</f>
        <v>4.9999999999999996E-2</v>
      </c>
      <c r="AO23" s="240">
        <f t="shared" ca="1" si="11"/>
        <v>0.26956055349048486</v>
      </c>
      <c r="AP23" s="240">
        <f t="shared" ca="1" si="9"/>
        <v>0.20988164219657957</v>
      </c>
      <c r="AQ23" s="241">
        <f ca="1">$A23+AP23*Design!$B$19</f>
        <v>96.96325360520504</v>
      </c>
      <c r="AR23" s="241">
        <f ca="1">AO23*Design!$C$12+$A23</f>
        <v>94.165058818676485</v>
      </c>
      <c r="AS23" s="241">
        <f ca="1">Constants!$D$19+Constants!$D$19*Constants!$C$20/100*(AR23-25)</f>
        <v>116.85516649160189</v>
      </c>
      <c r="AT23" s="240">
        <f ca="1">(1-Constants!$C$17/1000000000*Design!$B$32*1000000) * ($B23+AH23-AG23*AS23/1000) - (AH23+AG23*(1+($A23-25)*Constants!$C$31/100)*IF(ISBLANK(Design!$B$40),Constants!$C$6/1000,Design!$B$40/1000))</f>
        <v>6.8618878215722932</v>
      </c>
      <c r="AU23" s="162">
        <f ca="1">IF(AT23&gt;Design!$C$28,Design!$C$28,AT23)</f>
        <v>3.3239005736137672</v>
      </c>
    </row>
    <row r="24" spans="1:47" s="163" customFormat="1" ht="12.75" customHeight="1">
      <c r="A24" s="155">
        <f>Design!$D$13</f>
        <v>85</v>
      </c>
      <c r="B24" s="156">
        <f t="shared" si="0"/>
        <v>7.9000000000000012</v>
      </c>
      <c r="C24" s="157">
        <f>Design!$D$6</f>
        <v>3.5</v>
      </c>
      <c r="D24" s="157">
        <f ca="1">FORECAST(C24, OFFSET(Design!$C$15:$C$17,MATCH(C24,Design!$B$15:$B$17,1)-1,0,2), OFFSET(Design!$B$15:$B$17,MATCH(C24,Design!$B$15:$B$17,1)-1,0,2))+(M24-25)*Design!$B$18/1000</f>
        <v>0.39691373022383136</v>
      </c>
      <c r="E24" s="216">
        <f ca="1">IF(100*(Design!$C$28+D24+C24*IF(ISBLANK(Design!$B$40),Constants!$C$6,Design!$B$40)/1000*(1+Constants!$C$31/100*(N24-25)))/($B24+D24-C24*O24/1000)&gt;Design!$C$35,Design!$C$35,100*(Design!$C$28+D24+C24*IF(ISBLANK(Design!$B$40),Constants!$C$6,Design!$B$40)/1000*(1+Constants!$C$31/100*(N24-25)))/($B24+D24-C24*O24/1000))</f>
        <v>48.744542387586577</v>
      </c>
      <c r="F24" s="158">
        <f ca="1">IF(($B24-C24*IF(ISBLANK(Design!$B$40),Constants!$C$6,Design!$B$40)/1000*(1+Constants!$C$31/100*(N24-25))-Design!$C$28)/(IF(ISBLANK(Design!$B$39),Design!$B$38,Design!$B$39)/1000000)*E24/100/(IF(ISBLANK(Design!$B$32),Design!$B$31,Design!$B$32)*1000000)&lt;0, 0, ($B24-C24*IF(ISBLANK(Design!$B$40),Constants!$C$6,Design!$B$40)/1000*(1+Constants!$C$31/100*(N24-25))-Design!$C$28)/(IF(ISBLANK(Design!$B$39),Design!$B$38,Design!$B$39)/1000000)*E24/100/(IF(ISBLANK(Design!$B$32),Design!$B$31,Design!$B$32)*1000000))</f>
        <v>0.49616926705945974</v>
      </c>
      <c r="G24" s="208">
        <f>B24*Constants!$C$18/1000+IF(ISBLANK(Design!$B$32),Design!$B$31,Design!$B$32)*1000000*Constants!$D$22/1000000000*(B24-Constants!$C$21)</f>
        <v>5.2700000000000011E-2</v>
      </c>
      <c r="H24" s="208">
        <f>B24*C24*(B24/(Constants!$C$23*1000000000)*IF(ISBLANK(Design!$B$32),Design!$B$31,Design!$B$32)*1000000/2+B24/(Constants!$C$24*1000000000)*IF(ISBLANK(Design!$B$32),Design!$B$31,Design!$B$32)*1000000/2)</f>
        <v>0.26414758771929836</v>
      </c>
      <c r="I24" s="208">
        <f t="shared" ca="1" si="1"/>
        <v>0.79276641675698289</v>
      </c>
      <c r="J24" s="208">
        <f>Constants!$D$22/1000000000*Constants!$C$21*IF(ISBLANK(Design!$B$32),Design!$B$31,Design!$B$32)*1000000</f>
        <v>4.9999999999999996E-2</v>
      </c>
      <c r="K24" s="208">
        <f t="shared" ca="1" si="4"/>
        <v>1.1596140044762813</v>
      </c>
      <c r="L24" s="208">
        <f t="shared" ca="1" si="5"/>
        <v>0.71203982063453697</v>
      </c>
      <c r="M24" s="209">
        <f ca="1">A24+L24*Design!$B$19</f>
        <v>125.58626977616861</v>
      </c>
      <c r="N24" s="209">
        <f ca="1">K24*Design!$C$12+A24</f>
        <v>124.42687615219356</v>
      </c>
      <c r="O24" s="209">
        <f ca="1">Constants!$D$19+Constants!$D$19*Constants!$C$20/100*(N24-25)</f>
        <v>132.54289259729714</v>
      </c>
      <c r="P24" s="208">
        <f ca="1">(1-Constants!$C$17/1000000000*Design!$B$32*1000000) * ($B24+D24-C24*O24/1000) - (D24+C24*(1+($A24-25)*Constants!$C$31/100)*IF(ISBLANK(Design!$B$40),Constants!$C$6/1000,Design!$B$40/1000))</f>
        <v>6.3313021071121334</v>
      </c>
      <c r="Q24" s="214">
        <f ca="1">IF(P24&gt;Design!$C$28,Design!$C$28,P24)</f>
        <v>3.3239005736137672</v>
      </c>
      <c r="R24" s="224">
        <f>2*Design!$D$6/3</f>
        <v>2.3333333333333335</v>
      </c>
      <c r="S24" s="159">
        <f ca="1">FORECAST(R24, OFFSET(Design!$C$15:$C$17,MATCH(R24,Design!$B$15:$B$17,1)-1,0,2), OFFSET(Design!$B$15:$B$17,MATCH(R24,Design!$B$15:$B$17,1)-1,0,2))+(AB24-25)*Design!$B$18/1000</f>
        <v>0.38149801763439506</v>
      </c>
      <c r="T24" s="225">
        <f ca="1">IF(100*(Design!$C$28+S24+R24*IF(ISBLANK(Design!$B$40),Constants!$C$6,Design!$B$40)/1000*(1+Constants!$C$31/100*(AC24-25)))/($B24+S24-R24*AD24/1000)&gt;Design!$C$35,Design!$C$35,100*(Design!$C$28+S24+R24*IF(ISBLANK(Design!$B$40),Constants!$C$6,Design!$B$40)/1000*(1+Constants!$C$31/100*(AC24-25)))/($B24+S24-R24*AD24/1000))</f>
        <v>47.111313390145867</v>
      </c>
      <c r="U24" s="160">
        <f ca="1">IF(($B24-R24*IF(ISBLANK(Design!$B$40),Constants!$C$6,Design!$B$40)/1000*(1+Constants!$C$31/100*(AC24-25))-Design!$C$28)/(Design!$B$39/1000000)*T24/100/(IF(ISBLANK(IF(ISBLANK(Design!$B$39),Design!$B$38,Design!$B$39)),Design!$B$31,Design!$B$32)*1000000)&lt;0,0,($B24-R24*IF(ISBLANK(Design!$B$40),Constants!$C$6,Design!$B$40)/1000*(1+Constants!$C$31/100*(AC24-25))-Design!$C$28)/(IF(ISBLANK(Design!$B$39),Design!$B$38,Design!$B$39)/1000000)*T24/100/(IF(ISBLANK(Design!$B$32),Design!$B$31,Design!$B$32)*1000000))</f>
        <v>0.48339663115711845</v>
      </c>
      <c r="V24" s="226">
        <f>$B24*Constants!$C$18/1000+IF(ISBLANK(Design!$B$32),Design!$B$31,Design!$B$32)*1000000*Constants!$D$22/1000000000*($B24-Constants!$C$21)</f>
        <v>5.2700000000000011E-2</v>
      </c>
      <c r="W24" s="226">
        <f>$B24*R24*($B24/(Constants!$C$23*1000000000)*IF(ISBLANK(Design!$B$32),Design!$B$31,Design!$B$32)*1000000/2+$B24/(Constants!$C$24*1000000000)*IF(ISBLANK(Design!$B$32),Design!$B$31,Design!$B$32)*1000000/2)</f>
        <v>0.17609839181286557</v>
      </c>
      <c r="X24" s="226">
        <f t="shared" ca="1" si="2"/>
        <v>0.31553466578691769</v>
      </c>
      <c r="Y24" s="226">
        <f>Constants!$D$22/1000000000*Constants!$C$21*IF(ISBLANK(Design!$B$32),Design!$B$31,Design!$B$32)*1000000</f>
        <v>4.9999999999999996E-2</v>
      </c>
      <c r="Z24" s="226">
        <f t="shared" ca="1" si="10"/>
        <v>0.59433305759978339</v>
      </c>
      <c r="AA24" s="226">
        <f t="shared" ca="1" si="7"/>
        <v>0.47079501226207626</v>
      </c>
      <c r="AB24" s="227">
        <f ca="1">$A24+AA24*Design!$B$19</f>
        <v>111.83531569893835</v>
      </c>
      <c r="AC24" s="227">
        <f ca="1">Z24*Design!$C$12+$A24</f>
        <v>105.20732395839264</v>
      </c>
      <c r="AD24" s="227">
        <f ca="1">Constants!$D$19+Constants!$D$19*Constants!$C$20/100*(AC24-25)</f>
        <v>122.57947674003074</v>
      </c>
      <c r="AE24" s="226">
        <f ca="1">(1-Constants!$C$17/1000000000*Design!$B$32*1000000) * ($B24+S24-R24*AD24/1000) - (S24+R24*(1+($A24-25)*Constants!$C$31/100)*IF(ISBLANK(Design!$B$40),Constants!$C$6/1000,Design!$B$40/1000))</f>
        <v>6.5168982532586002</v>
      </c>
      <c r="AF24" s="160">
        <f ca="1">IF(AE24&gt;Design!$C$28,Design!$C$28,AE24)</f>
        <v>3.3239005736137672</v>
      </c>
      <c r="AG24" s="161">
        <f>Design!$D$6/3</f>
        <v>1.1666666666666667</v>
      </c>
      <c r="AH24" s="161">
        <f ca="1">FORECAST(AG24, OFFSET(Design!$C$15:$C$17,MATCH(AG24,Design!$B$15:$B$17,1)-1,0,2), OFFSET(Design!$B$15:$B$17,MATCH(AG24,Design!$B$15:$B$17,1)-1,0,2))+(AQ24-25)*Design!$B$18/1000</f>
        <v>0.32345523212354271</v>
      </c>
      <c r="AI24" s="239">
        <f ca="1">IF(100*(Design!$C$28+AH24+AG24*IF(ISBLANK(Design!$B$40),Constants!$C$6,Design!$B$40)/1000*(1+Constants!$C$31/100*(AR24-25)))/($B24+AH24-AG24*AS24/1000)&gt;Design!$C$35,Design!$C$35,100*(Design!$C$28+AH24+AG24*IF(ISBLANK(Design!$B$40),Constants!$C$6,Design!$B$40)/1000*(1+Constants!$C$31/100*(AR24-25)))/($B24+AH24-AG24*AS24/1000))</f>
        <v>45.466867100707674</v>
      </c>
      <c r="AJ24" s="162">
        <f ca="1">IF(($B24-AG24*IF(ISBLANK(Design!$B$40),Constants!$C$6,Design!$B$40)/1000*(1+Constants!$C$31/100*(AR24-25))-Design!$C$28)/(IF(ISBLANK(Design!$B$39),Design!$B$38,Design!$B$39)/1000000)*AI24/100/(IF(ISBLANK(Design!$B$32),Design!$B$31,Design!$B$32)*1000000)&lt;0,0,($B24-AG24*IF(ISBLANK(Design!$B$40),Constants!$C$6,Design!$B$40)/1000*(1+Constants!$C$31/100*(AR24-25))-Design!$C$28)/(IF(ISBLANK(Design!$B$39),Design!$B$38,Design!$B$39)/1000000)*AI24/100/(IF(ISBLANK(Design!$B$32),Design!$B$31,Design!$B$32)*1000000))</f>
        <v>0.46980097984163061</v>
      </c>
      <c r="AK24" s="240">
        <f>$B24*Constants!$C$18/1000+IF(ISBLANK(Design!$B$32),Design!$B$31,Design!$B$32)*1000000*Constants!$D$22/1000000000*($B24-Constants!$C$21)</f>
        <v>5.2700000000000011E-2</v>
      </c>
      <c r="AL24" s="240">
        <f>$B24*AG24*($B24/(Constants!$C$23*1000000000)*IF(ISBLANK(Design!$B$32),Design!$B$31,Design!$B$32)*1000000/2+$B24/(Constants!$C$24*1000000000)*IF(ISBLANK(Design!$B$32),Design!$B$31,Design!$B$32)*1000000/2)</f>
        <v>8.8049195906432787E-2</v>
      </c>
      <c r="AM24" s="240">
        <f t="shared" ca="1" si="3"/>
        <v>7.3231887172747701E-2</v>
      </c>
      <c r="AN24" s="240">
        <f>Constants!$D$22/1000000000*Constants!$C$21*IF(ISBLANK(Design!$B$32),Design!$B$31,Design!$B$32)*1000000</f>
        <v>4.9999999999999996E-2</v>
      </c>
      <c r="AO24" s="240">
        <f t="shared" ca="1" si="11"/>
        <v>0.2639810830791805</v>
      </c>
      <c r="AP24" s="240">
        <f t="shared" ca="1" si="9"/>
        <v>0.20578865020425371</v>
      </c>
      <c r="AQ24" s="241">
        <f ca="1">$A24+AP24*Design!$B$19</f>
        <v>96.729953061642462</v>
      </c>
      <c r="AR24" s="241">
        <f ca="1">AO24*Design!$C$12+$A24</f>
        <v>93.975356824692142</v>
      </c>
      <c r="AS24" s="241">
        <f ca="1">Constants!$D$19+Constants!$D$19*Constants!$C$20/100*(AR24-25)</f>
        <v>116.75682497792042</v>
      </c>
      <c r="AT24" s="240">
        <f ca="1">(1-Constants!$C$17/1000000000*Design!$B$32*1000000) * ($B24+AH24-AG24*AS24/1000) - (AH24+AG24*(1+($A24-25)*Constants!$C$31/100)*IF(ISBLANK(Design!$B$40),Constants!$C$6/1000,Design!$B$40/1000))</f>
        <v>6.6836073091380195</v>
      </c>
      <c r="AU24" s="162">
        <f ca="1">IF(AT24&gt;Design!$C$28,Design!$C$28,AT24)</f>
        <v>3.3239005736137672</v>
      </c>
    </row>
    <row r="25" spans="1:47" s="163" customFormat="1" ht="12.75" customHeight="1">
      <c r="A25" s="155">
        <f>Design!$D$13</f>
        <v>85</v>
      </c>
      <c r="B25" s="156">
        <f t="shared" si="0"/>
        <v>7.6950000000000012</v>
      </c>
      <c r="C25" s="157">
        <f>Design!$D$6</f>
        <v>3.5</v>
      </c>
      <c r="D25" s="157">
        <f ca="1">FORECAST(C25, OFFSET(Design!$C$15:$C$17,MATCH(C25,Design!$B$15:$B$17,1)-1,0,2), OFFSET(Design!$B$15:$B$17,MATCH(C25,Design!$B$15:$B$17,1)-1,0,2))+(M25-25)*Design!$B$18/1000</f>
        <v>0.39786375686607262</v>
      </c>
      <c r="E25" s="216">
        <f ca="1">IF(100*(Design!$C$28+D25+C25*IF(ISBLANK(Design!$B$40),Constants!$C$6,Design!$B$40)/1000*(1+Constants!$C$31/100*(N25-25)))/($B25+D25-C25*O25/1000)&gt;Design!$C$35,Design!$C$35,100*(Design!$C$28+D25+C25*IF(ISBLANK(Design!$B$40),Constants!$C$6,Design!$B$40)/1000*(1+Constants!$C$31/100*(N25-25)))/($B25+D25-C25*O25/1000))</f>
        <v>50.063832903324851</v>
      </c>
      <c r="F25" s="158">
        <f ca="1">IF(($B25-C25*IF(ISBLANK(Design!$B$40),Constants!$C$6,Design!$B$40)/1000*(1+Constants!$C$31/100*(N25-25))-Design!$C$28)/(IF(ISBLANK(Design!$B$39),Design!$B$38,Design!$B$39)/1000000)*E25/100/(IF(ISBLANK(Design!$B$32),Design!$B$31,Design!$B$32)*1000000)&lt;0, 0, ($B25-C25*IF(ISBLANK(Design!$B$40),Constants!$C$6,Design!$B$40)/1000*(1+Constants!$C$31/100*(N25-25))-Design!$C$28)/(IF(ISBLANK(Design!$B$39),Design!$B$38,Design!$B$39)/1000000)*E25/100/(IF(ISBLANK(Design!$B$32),Design!$B$31,Design!$B$32)*1000000))</f>
        <v>0.48626687768381782</v>
      </c>
      <c r="G25" s="208">
        <f>B25*Constants!$C$18/1000+IF(ISBLANK(Design!$B$32),Design!$B$31,Design!$B$32)*1000000*Constants!$D$22/1000000000*(B25-Constants!$C$21)</f>
        <v>5.0035000000000017E-2</v>
      </c>
      <c r="H25" s="208">
        <f>B25*C25*(B25/(Constants!$C$23*1000000000)*IF(ISBLANK(Design!$B$32),Design!$B$31,Design!$B$32)*1000000/2+B25/(Constants!$C$24*1000000000)*IF(ISBLANK(Design!$B$32),Design!$B$31,Design!$B$32)*1000000/2)</f>
        <v>0.25061653125000011</v>
      </c>
      <c r="I25" s="208">
        <f t="shared" ca="1" si="1"/>
        <v>0.81480132509061753</v>
      </c>
      <c r="J25" s="208">
        <f>Constants!$D$22/1000000000*Constants!$C$21*IF(ISBLANK(Design!$B$32),Design!$B$31,Design!$B$32)*1000000</f>
        <v>4.9999999999999996E-2</v>
      </c>
      <c r="K25" s="208">
        <f t="shared" ca="1" si="4"/>
        <v>1.1654528563406177</v>
      </c>
      <c r="L25" s="208">
        <f t="shared" ca="1" si="5"/>
        <v>0.69537268656012974</v>
      </c>
      <c r="M25" s="209">
        <f ca="1">A25+L25*Design!$B$19</f>
        <v>124.63624313392739</v>
      </c>
      <c r="N25" s="209">
        <f ca="1">K25*Design!$C$12+A25</f>
        <v>124.62539711558099</v>
      </c>
      <c r="O25" s="209">
        <f ca="1">Constants!$D$19+Constants!$D$19*Constants!$C$20/100*(N25-25)</f>
        <v>132.6458058647172</v>
      </c>
      <c r="P25" s="208">
        <f ca="1">(1-Constants!$C$17/1000000000*Design!$B$32*1000000) * ($B25+D25-C25*O25/1000) - (D25+C25*(1+($A25-25)*Constants!$C$31/100)*IF(ISBLANK(Design!$B$40),Constants!$C$6/1000,Design!$B$40/1000))</f>
        <v>6.1525152327493462</v>
      </c>
      <c r="Q25" s="214">
        <f ca="1">IF(P25&gt;Design!$C$28,Design!$C$28,P25)</f>
        <v>3.3239005736137672</v>
      </c>
      <c r="R25" s="224">
        <f>2*Design!$D$6/3</f>
        <v>2.3333333333333335</v>
      </c>
      <c r="S25" s="159">
        <f ca="1">FORECAST(R25, OFFSET(Design!$C$15:$C$17,MATCH(R25,Design!$B$15:$B$17,1)-1,0,2), OFFSET(Design!$B$15:$B$17,MATCH(R25,Design!$B$15:$B$17,1)-1,0,2))+(AB25-25)*Design!$B$18/1000</f>
        <v>0.38208788715221287</v>
      </c>
      <c r="T25" s="225">
        <f ca="1">IF(100*(Design!$C$28+S25+R25*IF(ISBLANK(Design!$B$40),Constants!$C$6,Design!$B$40)/1000*(1+Constants!$C$31/100*(AC25-25)))/($B25+S25-R25*AD25/1000)&gt;Design!$C$35,Design!$C$35,100*(Design!$C$28+S25+R25*IF(ISBLANK(Design!$B$40),Constants!$C$6,Design!$B$40)/1000*(1+Constants!$C$31/100*(AC25-25)))/($B25+S25-R25*AD25/1000))</f>
        <v>48.353719537221636</v>
      </c>
      <c r="U25" s="160">
        <f ca="1">IF(($B25-R25*IF(ISBLANK(Design!$B$40),Constants!$C$6,Design!$B$40)/1000*(1+Constants!$C$31/100*(AC25-25))-Design!$C$28)/(Design!$B$39/1000000)*T25/100/(IF(ISBLANK(IF(ISBLANK(Design!$B$39),Design!$B$38,Design!$B$39)),Design!$B$31,Design!$B$32)*1000000)&lt;0,0,($B25-R25*IF(ISBLANK(Design!$B$40),Constants!$C$6,Design!$B$40)/1000*(1+Constants!$C$31/100*(AC25-25))-Design!$C$28)/(IF(ISBLANK(Design!$B$39),Design!$B$38,Design!$B$39)/1000000)*T25/100/(IF(ISBLANK(Design!$B$32),Design!$B$31,Design!$B$32)*1000000))</f>
        <v>0.47361864338668569</v>
      </c>
      <c r="V25" s="226">
        <f>$B25*Constants!$C$18/1000+IF(ISBLANK(Design!$B$32),Design!$B$31,Design!$B$32)*1000000*Constants!$D$22/1000000000*($B25-Constants!$C$21)</f>
        <v>5.0035000000000017E-2</v>
      </c>
      <c r="W25" s="226">
        <f>$B25*R25*($B25/(Constants!$C$23*1000000000)*IF(ISBLANK(Design!$B$32),Design!$B$31,Design!$B$32)*1000000/2+$B25/(Constants!$C$24*1000000000)*IF(ISBLANK(Design!$B$32),Design!$B$31,Design!$B$32)*1000000/2)</f>
        <v>0.16707768750000007</v>
      </c>
      <c r="X25" s="226">
        <f t="shared" ca="1" si="2"/>
        <v>0.32364307571135226</v>
      </c>
      <c r="Y25" s="226">
        <f>Constants!$D$22/1000000000*Constants!$C$21*IF(ISBLANK(Design!$B$32),Design!$B$31,Design!$B$32)*1000000</f>
        <v>4.9999999999999996E-2</v>
      </c>
      <c r="Z25" s="226">
        <f t="shared" ca="1" si="10"/>
        <v>0.59075576321135237</v>
      </c>
      <c r="AA25" s="226">
        <f t="shared" ca="1" si="7"/>
        <v>0.460446424230184</v>
      </c>
      <c r="AB25" s="227">
        <f ca="1">$A25+AA25*Design!$B$19</f>
        <v>111.24544618112049</v>
      </c>
      <c r="AC25" s="227">
        <f ca="1">Z25*Design!$C$12+$A25</f>
        <v>105.08569594918598</v>
      </c>
      <c r="AD25" s="227">
        <f ca="1">Constants!$D$19+Constants!$D$19*Constants!$C$20/100*(AC25-25)</f>
        <v>122.51642478005802</v>
      </c>
      <c r="AE25" s="226">
        <f ca="1">(1-Constants!$C$17/1000000000*Design!$B$32*1000000) * ($B25+S25-R25*AD25/1000) - (S25+R25*(1+($A25-25)*Constants!$C$31/100)*IF(ISBLANK(Design!$B$40),Constants!$C$6/1000,Design!$B$40/1000))</f>
        <v>6.3385995657000276</v>
      </c>
      <c r="AF25" s="160">
        <f ca="1">IF(AE25&gt;Design!$C$28,Design!$C$28,AE25)</f>
        <v>3.3239005736137672</v>
      </c>
      <c r="AG25" s="161">
        <f>Design!$D$6/3</f>
        <v>1.1666666666666667</v>
      </c>
      <c r="AH25" s="161">
        <f ca="1">FORECAST(AG25, OFFSET(Design!$C$15:$C$17,MATCH(AG25,Design!$B$15:$B$17,1)-1,0,2), OFFSET(Design!$B$15:$B$17,MATCH(AG25,Design!$B$15:$B$17,1)-1,0,2))+(AQ25-25)*Design!$B$18/1000</f>
        <v>0.32370103516549159</v>
      </c>
      <c r="AI25" s="239">
        <f ca="1">IF(100*(Design!$C$28+AH25+AG25*IF(ISBLANK(Design!$B$40),Constants!$C$6,Design!$B$40)/1000*(1+Constants!$C$31/100*(AR25-25)))/($B25+AH25-AG25*AS25/1000)&gt;Design!$C$35,Design!$C$35,100*(Design!$C$28+AH25+AG25*IF(ISBLANK(Design!$B$40),Constants!$C$6,Design!$B$40)/1000*(1+Constants!$C$31/100*(AR25-25)))/($B25+AH25-AG25*AS25/1000))</f>
        <v>46.650159715967206</v>
      </c>
      <c r="AJ25" s="162">
        <f ca="1">IF(($B25-AG25*IF(ISBLANK(Design!$B$40),Constants!$C$6,Design!$B$40)/1000*(1+Constants!$C$31/100*(AR25-25))-Design!$C$28)/(IF(ISBLANK(Design!$B$39),Design!$B$38,Design!$B$39)/1000000)*AI25/100/(IF(ISBLANK(Design!$B$32),Design!$B$31,Design!$B$32)*1000000)&lt;0,0,($B25-AG25*IF(ISBLANK(Design!$B$40),Constants!$C$6,Design!$B$40)/1000*(1+Constants!$C$31/100*(AR25-25))-Design!$C$28)/(IF(ISBLANK(Design!$B$39),Design!$B$38,Design!$B$39)/1000000)*AI25/100/(IF(ISBLANK(Design!$B$32),Design!$B$31,Design!$B$32)*1000000))</f>
        <v>0.46029477187766155</v>
      </c>
      <c r="AK25" s="240">
        <f>$B25*Constants!$C$18/1000+IF(ISBLANK(Design!$B$32),Design!$B$31,Design!$B$32)*1000000*Constants!$D$22/1000000000*($B25-Constants!$C$21)</f>
        <v>5.0035000000000017E-2</v>
      </c>
      <c r="AL25" s="240">
        <f>$B25*AG25*($B25/(Constants!$C$23*1000000000)*IF(ISBLANK(Design!$B$32),Design!$B$31,Design!$B$32)*1000000/2+$B25/(Constants!$C$24*1000000000)*IF(ISBLANK(Design!$B$32),Design!$B$31,Design!$B$32)*1000000/2)</f>
        <v>8.3538843750000036E-2</v>
      </c>
      <c r="AM25" s="240">
        <f t="shared" ca="1" si="3"/>
        <v>7.5036759515381996E-2</v>
      </c>
      <c r="AN25" s="240">
        <f>Constants!$D$22/1000000000*Constants!$C$21*IF(ISBLANK(Design!$B$32),Design!$B$31,Design!$B$32)*1000000</f>
        <v>4.9999999999999996E-2</v>
      </c>
      <c r="AO25" s="240">
        <f t="shared" ca="1" si="11"/>
        <v>0.25861060326538204</v>
      </c>
      <c r="AP25" s="240">
        <f t="shared" ca="1" si="9"/>
        <v>0.20147631613497571</v>
      </c>
      <c r="AQ25" s="241">
        <f ca="1">$A25+AP25*Design!$B$19</f>
        <v>96.484150019693615</v>
      </c>
      <c r="AR25" s="241">
        <f ca="1">AO25*Design!$C$12+$A25</f>
        <v>93.79276051102299</v>
      </c>
      <c r="AS25" s="241">
        <f ca="1">Constants!$D$19+Constants!$D$19*Constants!$C$20/100*(AR25-25)</f>
        <v>116.66216704891433</v>
      </c>
      <c r="AT25" s="240">
        <f ca="1">(1-Constants!$C$17/1000000000*Design!$B$32*1000000) * ($B25+AH25-AG25*AS25/1000) - (AH25+AG25*(1+($A25-25)*Constants!$C$31/100)*IF(ISBLANK(Design!$B$40),Constants!$C$6/1000,Design!$B$40/1000))</f>
        <v>6.5053214325405051</v>
      </c>
      <c r="AU25" s="162">
        <f ca="1">IF(AT25&gt;Design!$C$28,Design!$C$28,AT25)</f>
        <v>3.3239005736137672</v>
      </c>
    </row>
    <row r="26" spans="1:47" s="163" customFormat="1" ht="12.75" customHeight="1">
      <c r="A26" s="155">
        <f>Design!$D$13</f>
        <v>85</v>
      </c>
      <c r="B26" s="156">
        <f t="shared" si="0"/>
        <v>7.4900000000000011</v>
      </c>
      <c r="C26" s="157">
        <f>Design!$D$6</f>
        <v>3.5</v>
      </c>
      <c r="D26" s="157">
        <f ca="1">FORECAST(C26, OFFSET(Design!$C$15:$C$17,MATCH(C26,Design!$B$15:$B$17,1)-1,0,2), OFFSET(Design!$B$15:$B$17,MATCH(C26,Design!$B$15:$B$17,1)-1,0,2))+(M26-25)*Design!$B$18/1000</f>
        <v>0.39887203523925313</v>
      </c>
      <c r="E26" s="216">
        <f ca="1">IF(100*(Design!$C$28+D26+C26*IF(ISBLANK(Design!$B$40),Constants!$C$6,Design!$B$40)/1000*(1+Constants!$C$31/100*(N26-25)))/($B26+D26-C26*O26/1000)&gt;Design!$C$35,Design!$C$35,100*(Design!$C$28+D26+C26*IF(ISBLANK(Design!$B$40),Constants!$C$6,Design!$B$40)/1000*(1+Constants!$C$31/100*(N26-25)))/($B26+D26-C26*O26/1000))</f>
        <v>51.457142540370029</v>
      </c>
      <c r="F26" s="158">
        <f ca="1">IF(($B26-C26*IF(ISBLANK(Design!$B$40),Constants!$C$6,Design!$B$40)/1000*(1+Constants!$C$31/100*(N26-25))-Design!$C$28)/(IF(ISBLANK(Design!$B$39),Design!$B$38,Design!$B$39)/1000000)*E26/100/(IF(ISBLANK(Design!$B$32),Design!$B$31,Design!$B$32)*1000000)&lt;0, 0, ($B26-C26*IF(ISBLANK(Design!$B$40),Constants!$C$6,Design!$B$40)/1000*(1+Constants!$C$31/100*(N26-25))-Design!$C$28)/(IF(ISBLANK(Design!$B$39),Design!$B$38,Design!$B$39)/1000000)*E26/100/(IF(ISBLANK(Design!$B$32),Design!$B$31,Design!$B$32)*1000000))</f>
        <v>0.47581731286015017</v>
      </c>
      <c r="G26" s="208">
        <f>B26*Constants!$C$18/1000+IF(ISBLANK(Design!$B$32),Design!$B$31,Design!$B$32)*1000000*Constants!$D$22/1000000000*(B26-Constants!$C$21)</f>
        <v>4.7370000000000016E-2</v>
      </c>
      <c r="H26" s="208">
        <f>B26*C26*(B26/(Constants!$C$23*1000000000)*IF(ISBLANK(Design!$B$32),Design!$B$31,Design!$B$32)*1000000/2+B26/(Constants!$C$24*1000000000)*IF(ISBLANK(Design!$B$32),Design!$B$31,Design!$B$32)*1000000/2)</f>
        <v>0.23744121271929833</v>
      </c>
      <c r="I26" s="208">
        <f t="shared" ca="1" si="1"/>
        <v>0.83826937083338693</v>
      </c>
      <c r="J26" s="208">
        <f>Constants!$D$22/1000000000*Constants!$C$21*IF(ISBLANK(Design!$B$32),Design!$B$31,Design!$B$32)*1000000</f>
        <v>4.9999999999999996E-2</v>
      </c>
      <c r="K26" s="208">
        <f t="shared" ca="1" si="4"/>
        <v>1.1730805835526852</v>
      </c>
      <c r="L26" s="208">
        <f t="shared" ca="1" si="5"/>
        <v>0.67768359229380493</v>
      </c>
      <c r="M26" s="209">
        <f ca="1">A26+L26*Design!$B$19</f>
        <v>123.62796476074688</v>
      </c>
      <c r="N26" s="209">
        <f ca="1">K26*Design!$C$12+A26</f>
        <v>124.8847398407913</v>
      </c>
      <c r="O26" s="209">
        <f ca="1">Constants!$D$19+Constants!$D$19*Constants!$C$20/100*(N26-25)</f>
        <v>132.78024913346621</v>
      </c>
      <c r="P26" s="208">
        <f ca="1">(1-Constants!$C$17/1000000000*Design!$B$32*1000000) * ($B26+D26-C26*O26/1000) - (D26+C26*(1+($A26-25)*Constants!$C$31/100)*IF(ISBLANK(Design!$B$40),Constants!$C$6/1000,Design!$B$40/1000))</f>
        <v>5.973624776807493</v>
      </c>
      <c r="Q26" s="214">
        <f ca="1">IF(P26&gt;Design!$C$28,Design!$C$28,P26)</f>
        <v>3.3239005736137672</v>
      </c>
      <c r="R26" s="224">
        <f>2*Design!$D$6/3</f>
        <v>2.3333333333333335</v>
      </c>
      <c r="S26" s="159">
        <f ca="1">FORECAST(R26, OFFSET(Design!$C$15:$C$17,MATCH(R26,Design!$B$15:$B$17,1)-1,0,2), OFFSET(Design!$B$15:$B$17,MATCH(R26,Design!$B$15:$B$17,1)-1,0,2))+(AB26-25)*Design!$B$18/1000</f>
        <v>0.38271172241982415</v>
      </c>
      <c r="T26" s="225">
        <f ca="1">IF(100*(Design!$C$28+S26+R26*IF(ISBLANK(Design!$B$40),Constants!$C$6,Design!$B$40)/1000*(1+Constants!$C$31/100*(AC26-25)))/($B26+S26-R26*AD26/1000)&gt;Design!$C$35,Design!$C$35,100*(Design!$C$28+S26+R26*IF(ISBLANK(Design!$B$40),Constants!$C$6,Design!$B$40)/1000*(1+Constants!$C$31/100*(AC26-25)))/($B26+S26-R26*AD26/1000))</f>
        <v>49.663498713610878</v>
      </c>
      <c r="U26" s="160">
        <f ca="1">IF(($B26-R26*IF(ISBLANK(Design!$B$40),Constants!$C$6,Design!$B$40)/1000*(1+Constants!$C$31/100*(AC26-25))-Design!$C$28)/(Design!$B$39/1000000)*T26/100/(IF(ISBLANK(IF(ISBLANK(Design!$B$39),Design!$B$38,Design!$B$39)),Design!$B$31,Design!$B$32)*1000000)&lt;0,0,($B26-R26*IF(ISBLANK(Design!$B$40),Constants!$C$6,Design!$B$40)/1000*(1+Constants!$C$31/100*(AC26-25))-Design!$C$28)/(IF(ISBLANK(Design!$B$39),Design!$B$38,Design!$B$39)/1000000)*T26/100/(IF(ISBLANK(Design!$B$32),Design!$B$31,Design!$B$32)*1000000))</f>
        <v>0.46331110983405427</v>
      </c>
      <c r="V26" s="226">
        <f>$B26*Constants!$C$18/1000+IF(ISBLANK(Design!$B$32),Design!$B$31,Design!$B$32)*1000000*Constants!$D$22/1000000000*($B26-Constants!$C$21)</f>
        <v>4.7370000000000016E-2</v>
      </c>
      <c r="W26" s="226">
        <f>$B26*R26*($B26/(Constants!$C$23*1000000000)*IF(ISBLANK(Design!$B$32),Design!$B$31,Design!$B$32)*1000000/2+$B26/(Constants!$C$24*1000000000)*IF(ISBLANK(Design!$B$32),Design!$B$31,Design!$B$32)*1000000/2)</f>
        <v>0.15829414181286555</v>
      </c>
      <c r="X26" s="226">
        <f t="shared" ca="1" si="2"/>
        <v>0.33222364398785231</v>
      </c>
      <c r="Y26" s="226">
        <f>Constants!$D$22/1000000000*Constants!$C$21*IF(ISBLANK(Design!$B$32),Design!$B$31,Design!$B$32)*1000000</f>
        <v>4.9999999999999996E-2</v>
      </c>
      <c r="Z26" s="226">
        <f t="shared" ca="1" si="10"/>
        <v>0.58788778580071788</v>
      </c>
      <c r="AA26" s="226">
        <f t="shared" ca="1" si="7"/>
        <v>0.44950194585103914</v>
      </c>
      <c r="AB26" s="227">
        <f ca="1">$A26+AA26*Design!$B$19</f>
        <v>110.62161091350923</v>
      </c>
      <c r="AC26" s="227">
        <f ca="1">Z26*Design!$C$12+$A26</f>
        <v>104.98818471722441</v>
      </c>
      <c r="AD26" s="227">
        <f ca="1">Constants!$D$19+Constants!$D$19*Constants!$C$20/100*(AC26-25)</f>
        <v>122.46587495740914</v>
      </c>
      <c r="AE26" s="226">
        <f ca="1">(1-Constants!$C$17/1000000000*Design!$B$32*1000000) * ($B26+S26-R26*AD26/1000) - (S26+R26*(1+($A26-25)*Constants!$C$31/100)*IF(ISBLANK(Design!$B$40),Constants!$C$6/1000,Design!$B$40/1000))</f>
        <v>6.1602710832552168</v>
      </c>
      <c r="AF26" s="160">
        <f ca="1">IF(AE26&gt;Design!$C$28,Design!$C$28,AE26)</f>
        <v>3.3239005736137672</v>
      </c>
      <c r="AG26" s="161">
        <f>Design!$D$6/3</f>
        <v>1.1666666666666667</v>
      </c>
      <c r="AH26" s="161">
        <f ca="1">FORECAST(AG26, OFFSET(Design!$C$15:$C$17,MATCH(AG26,Design!$B$15:$B$17,1)-1,0,2), OFFSET(Design!$B$15:$B$17,MATCH(AG26,Design!$B$15:$B$17,1)-1,0,2))+(AQ26-25)*Design!$B$18/1000</f>
        <v>0.32396037223833862</v>
      </c>
      <c r="AI26" s="239">
        <f ca="1">IF(100*(Design!$C$28+AH26+AG26*IF(ISBLANK(Design!$B$40),Constants!$C$6,Design!$B$40)/1000*(1+Constants!$C$31/100*(AR26-25)))/($B26+AH26-AG26*AS26/1000)&gt;Design!$C$35,Design!$C$35,100*(Design!$C$28+AH26+AG26*IF(ISBLANK(Design!$B$40),Constants!$C$6,Design!$B$40)/1000*(1+Constants!$C$31/100*(AR26-25)))/($B26+AH26-AG26*AS26/1000))</f>
        <v>47.89665832102277</v>
      </c>
      <c r="AJ26" s="162">
        <f ca="1">IF(($B26-AG26*IF(ISBLANK(Design!$B$40),Constants!$C$6,Design!$B$40)/1000*(1+Constants!$C$31/100*(AR26-25))-Design!$C$28)/(IF(ISBLANK(Design!$B$39),Design!$B$38,Design!$B$39)/1000000)*AI26/100/(IF(ISBLANK(Design!$B$32),Design!$B$31,Design!$B$32)*1000000)&lt;0,0,($B26-AG26*IF(ISBLANK(Design!$B$40),Constants!$C$6,Design!$B$40)/1000*(1+Constants!$C$31/100*(AR26-25))-Design!$C$28)/(IF(ISBLANK(Design!$B$39),Design!$B$38,Design!$B$39)/1000000)*AI26/100/(IF(ISBLANK(Design!$B$32),Design!$B$31,Design!$B$32)*1000000))</f>
        <v>0.4502801714694768</v>
      </c>
      <c r="AK26" s="240">
        <f>$B26*Constants!$C$18/1000+IF(ISBLANK(Design!$B$32),Design!$B$31,Design!$B$32)*1000000*Constants!$D$22/1000000000*($B26-Constants!$C$21)</f>
        <v>4.7370000000000016E-2</v>
      </c>
      <c r="AL26" s="240">
        <f>$B26*AG26*($B26/(Constants!$C$23*1000000000)*IF(ISBLANK(Design!$B$32),Design!$B$31,Design!$B$32)*1000000/2+$B26/(Constants!$C$24*1000000000)*IF(ISBLANK(Design!$B$32),Design!$B$31,Design!$B$32)*1000000/2)</f>
        <v>7.9147070906432776E-2</v>
      </c>
      <c r="AM26" s="240">
        <f t="shared" ca="1" si="3"/>
        <v>7.693932957725734E-2</v>
      </c>
      <c r="AN26" s="240">
        <f>Constants!$D$22/1000000000*Constants!$C$21*IF(ISBLANK(Design!$B$32),Design!$B$31,Design!$B$32)*1000000</f>
        <v>4.9999999999999996E-2</v>
      </c>
      <c r="AO26" s="240">
        <f t="shared" ca="1" si="11"/>
        <v>0.25345640048369011</v>
      </c>
      <c r="AP26" s="240">
        <f t="shared" ca="1" si="9"/>
        <v>0.19692654292713277</v>
      </c>
      <c r="AQ26" s="241">
        <f ca="1">$A26+AP26*Design!$B$19</f>
        <v>96.224812946846569</v>
      </c>
      <c r="AR26" s="241">
        <f ca="1">AO26*Design!$C$12+$A26</f>
        <v>93.617517616445468</v>
      </c>
      <c r="AS26" s="241">
        <f ca="1">Constants!$D$19+Constants!$D$19*Constants!$C$20/100*(AR26-25)</f>
        <v>116.57132113236534</v>
      </c>
      <c r="AT26" s="240">
        <f ca="1">(1-Constants!$C$17/1000000000*Design!$B$32*1000000) * ($B26+AH26-AG26*AS26/1000) - (AH26+AG26*(1+($A26-25)*Constants!$C$31/100)*IF(ISBLANK(Design!$B$40),Constants!$C$6/1000,Design!$B$40/1000))</f>
        <v>6.3270299273263326</v>
      </c>
      <c r="AU26" s="162">
        <f ca="1">IF(AT26&gt;Design!$C$28,Design!$C$28,AT26)</f>
        <v>3.3239005736137672</v>
      </c>
    </row>
    <row r="27" spans="1:47" s="163" customFormat="1" ht="12.75" customHeight="1">
      <c r="A27" s="155">
        <f>Design!$D$13</f>
        <v>85</v>
      </c>
      <c r="B27" s="156">
        <f t="shared" si="0"/>
        <v>7.285000000000001</v>
      </c>
      <c r="C27" s="157">
        <f>Design!$D$6</f>
        <v>3.5</v>
      </c>
      <c r="D27" s="157">
        <f ca="1">FORECAST(C27, OFFSET(Design!$C$15:$C$17,MATCH(C27,Design!$B$15:$B$17,1)-1,0,2), OFFSET(Design!$B$15:$B$17,MATCH(C27,Design!$B$15:$B$17,1)-1,0,2))+(M27-25)*Design!$B$18/1000</f>
        <v>0.39994411260410312</v>
      </c>
      <c r="E27" s="216">
        <f ca="1">IF(100*(Design!$C$28+D27+C27*IF(ISBLANK(Design!$B$40),Constants!$C$6,Design!$B$40)/1000*(1+Constants!$C$31/100*(N27-25)))/($B27+D27-C27*O27/1000)&gt;Design!$C$35,Design!$C$35,100*(Design!$C$28+D27+C27*IF(ISBLANK(Design!$B$40),Constants!$C$6,Design!$B$40)/1000*(1+Constants!$C$31/100*(N27-25)))/($B27+D27-C27*O27/1000))</f>
        <v>52.930908043852995</v>
      </c>
      <c r="F27" s="158">
        <f ca="1">IF(($B27-C27*IF(ISBLANK(Design!$B$40),Constants!$C$6,Design!$B$40)/1000*(1+Constants!$C$31/100*(N27-25))-Design!$C$28)/(IF(ISBLANK(Design!$B$39),Design!$B$38,Design!$B$39)/1000000)*E27/100/(IF(ISBLANK(Design!$B$32),Design!$B$31,Design!$B$32)*1000000)&lt;0, 0, ($B27-C27*IF(ISBLANK(Design!$B$40),Constants!$C$6,Design!$B$40)/1000*(1+Constants!$C$31/100*(N27-25))-Design!$C$28)/(IF(ISBLANK(Design!$B$39),Design!$B$38,Design!$B$39)/1000000)*E27/100/(IF(ISBLANK(Design!$B$32),Design!$B$31,Design!$B$32)*1000000))</f>
        <v>0.46477328063467338</v>
      </c>
      <c r="G27" s="208">
        <f>B27*Constants!$C$18/1000+IF(ISBLANK(Design!$B$32),Design!$B$31,Design!$B$32)*1000000*Constants!$D$22/1000000000*(B27-Constants!$C$21)</f>
        <v>4.4705000000000009E-2</v>
      </c>
      <c r="H27" s="208">
        <f>B27*C27*(B27/(Constants!$C$23*1000000000)*IF(ISBLANK(Design!$B$32),Design!$B$31,Design!$B$32)*1000000/2+B27/(Constants!$C$24*1000000000)*IF(ISBLANK(Design!$B$32),Design!$B$31,Design!$B$32)*1000000/2)</f>
        <v>0.22462163212719302</v>
      </c>
      <c r="I27" s="208">
        <f t="shared" ca="1" si="1"/>
        <v>0.86331092630280615</v>
      </c>
      <c r="J27" s="208">
        <f>Constants!$D$22/1000000000*Constants!$C$21*IF(ISBLANK(Design!$B$32),Design!$B$31,Design!$B$32)*1000000</f>
        <v>4.9999999999999996E-2</v>
      </c>
      <c r="K27" s="208">
        <f t="shared" ca="1" si="4"/>
        <v>1.1826375584299993</v>
      </c>
      <c r="L27" s="208">
        <f t="shared" ca="1" si="5"/>
        <v>0.65887521747187494</v>
      </c>
      <c r="M27" s="209">
        <f ca="1">A27+L27*Design!$B$19</f>
        <v>122.55588739589687</v>
      </c>
      <c r="N27" s="209">
        <f ca="1">K27*Design!$C$12+A27</f>
        <v>125.20967698661997</v>
      </c>
      <c r="O27" s="209">
        <f ca="1">Constants!$D$19+Constants!$D$19*Constants!$C$20/100*(N27-25)</f>
        <v>132.9486965498638</v>
      </c>
      <c r="P27" s="208">
        <f ca="1">(1-Constants!$C$17/1000000000*Design!$B$32*1000000) * ($B27+D27-C27*O27/1000) - (D27+C27*(1+($A27-25)*Constants!$C$31/100)*IF(ISBLANK(Design!$B$40),Constants!$C$6/1000,Design!$B$40/1000))</f>
        <v>5.7946224843671317</v>
      </c>
      <c r="Q27" s="214">
        <f ca="1">IF(P27&gt;Design!$C$28,Design!$C$28,P27)</f>
        <v>3.3239005736137672</v>
      </c>
      <c r="R27" s="224">
        <f>2*Design!$D$6/3</f>
        <v>2.3333333333333335</v>
      </c>
      <c r="S27" s="159">
        <f ca="1">FORECAST(R27, OFFSET(Design!$C$15:$C$17,MATCH(R27,Design!$B$15:$B$17,1)-1,0,2), OFFSET(Design!$B$15:$B$17,MATCH(R27,Design!$B$15:$B$17,1)-1,0,2))+(AB27-25)*Design!$B$18/1000</f>
        <v>0.38337254019400469</v>
      </c>
      <c r="T27" s="225">
        <f ca="1">IF(100*(Design!$C$28+S27+R27*IF(ISBLANK(Design!$B$40),Constants!$C$6,Design!$B$40)/1000*(1+Constants!$C$31/100*(AC27-25)))/($B27+S27-R27*AD27/1000)&gt;Design!$C$35,Design!$C$35,100*(Design!$C$28+S27+R27*IF(ISBLANK(Design!$B$40),Constants!$C$6,Design!$B$40)/1000*(1+Constants!$C$31/100*(AC27-25)))/($B27+S27-R27*AD27/1000))</f>
        <v>51.046275695448145</v>
      </c>
      <c r="U27" s="160">
        <f ca="1">IF(($B27-R27*IF(ISBLANK(Design!$B$40),Constants!$C$6,Design!$B$40)/1000*(1+Constants!$C$31/100*(AC27-25))-Design!$C$28)/(Design!$B$39/1000000)*T27/100/(IF(ISBLANK(IF(ISBLANK(Design!$B$39),Design!$B$38,Design!$B$39)),Design!$B$31,Design!$B$32)*1000000)&lt;0,0,($B27-R27*IF(ISBLANK(Design!$B$40),Constants!$C$6,Design!$B$40)/1000*(1+Constants!$C$31/100*(AC27-25))-Design!$C$28)/(IF(ISBLANK(Design!$B$39),Design!$B$38,Design!$B$39)/1000000)*T27/100/(IF(ISBLANK(Design!$B$32),Design!$B$31,Design!$B$32)*1000000))</f>
        <v>0.45242965325588569</v>
      </c>
      <c r="V27" s="226">
        <f>$B27*Constants!$C$18/1000+IF(ISBLANK(Design!$B$32),Design!$B$31,Design!$B$32)*1000000*Constants!$D$22/1000000000*($B27-Constants!$C$21)</f>
        <v>4.4705000000000009E-2</v>
      </c>
      <c r="W27" s="226">
        <f>$B27*R27*($B27/(Constants!$C$23*1000000000)*IF(ISBLANK(Design!$B$32),Design!$B$31,Design!$B$32)*1000000/2+$B27/(Constants!$C$24*1000000000)*IF(ISBLANK(Design!$B$32),Design!$B$31,Design!$B$32)*1000000/2)</f>
        <v>0.14974775475146204</v>
      </c>
      <c r="X27" s="226">
        <f t="shared" ca="1" si="2"/>
        <v>0.34131777213708808</v>
      </c>
      <c r="Y27" s="226">
        <f>Constants!$D$22/1000000000*Constants!$C$21*IF(ISBLANK(Design!$B$32),Design!$B$31,Design!$B$32)*1000000</f>
        <v>4.9999999999999996E-2</v>
      </c>
      <c r="Z27" s="226">
        <f t="shared" ca="1" si="10"/>
        <v>0.58577052688855025</v>
      </c>
      <c r="AA27" s="226">
        <f t="shared" ca="1" si="7"/>
        <v>0.43790865156717079</v>
      </c>
      <c r="AB27" s="227">
        <f ca="1">$A27+AA27*Design!$B$19</f>
        <v>109.96079313932873</v>
      </c>
      <c r="AC27" s="227">
        <f ca="1">Z27*Design!$C$12+$A27</f>
        <v>104.91619791421071</v>
      </c>
      <c r="AD27" s="227">
        <f ca="1">Constants!$D$19+Constants!$D$19*Constants!$C$20/100*(AC27-25)</f>
        <v>122.42855699872683</v>
      </c>
      <c r="AE27" s="226">
        <f ca="1">(1-Constants!$C$17/1000000000*Design!$B$32*1000000) * ($B27+S27-R27*AD27/1000) - (S27+R27*(1+($A27-25)*Constants!$C$31/100)*IF(ISBLANK(Design!$B$40),Constants!$C$6/1000,Design!$B$40/1000))</f>
        <v>5.981910932400698</v>
      </c>
      <c r="AF27" s="160">
        <f ca="1">IF(AE27&gt;Design!$C$28,Design!$C$28,AE27)</f>
        <v>3.3239005736137672</v>
      </c>
      <c r="AG27" s="161">
        <f>Design!$D$6/3</f>
        <v>1.1666666666666667</v>
      </c>
      <c r="AH27" s="161">
        <f ca="1">FORECAST(AG27, OFFSET(Design!$C$15:$C$17,MATCH(AG27,Design!$B$15:$B$17,1)-1,0,2), OFFSET(Design!$B$15:$B$17,MATCH(AG27,Design!$B$15:$B$17,1)-1,0,2))+(AQ27-25)*Design!$B$18/1000</f>
        <v>0.3242343914329841</v>
      </c>
      <c r="AI27" s="239">
        <f ca="1">IF(100*(Design!$C$28+AH27+AG27*IF(ISBLANK(Design!$B$40),Constants!$C$6,Design!$B$40)/1000*(1+Constants!$C$31/100*(AR27-25)))/($B27+AH27-AG27*AS27/1000)&gt;Design!$C$35,Design!$C$35,100*(Design!$C$28+AH27+AG27*IF(ISBLANK(Design!$B$40),Constants!$C$6,Design!$B$40)/1000*(1+Constants!$C$31/100*(AR27-25)))/($B27+AH27-AG27*AS27/1000))</f>
        <v>49.211559720462525</v>
      </c>
      <c r="AJ27" s="162">
        <f ca="1">IF(($B27-AG27*IF(ISBLANK(Design!$B$40),Constants!$C$6,Design!$B$40)/1000*(1+Constants!$C$31/100*(AR27-25))-Design!$C$28)/(IF(ISBLANK(Design!$B$39),Design!$B$38,Design!$B$39)/1000000)*AI27/100/(IF(ISBLANK(Design!$B$32),Design!$B$31,Design!$B$32)*1000000)&lt;0,0,($B27-AG27*IF(ISBLANK(Design!$B$40),Constants!$C$6,Design!$B$40)/1000*(1+Constants!$C$31/100*(AR27-25))-Design!$C$28)/(IF(ISBLANK(Design!$B$39),Design!$B$38,Design!$B$39)/1000000)*AI27/100/(IF(ISBLANK(Design!$B$32),Design!$B$31,Design!$B$32)*1000000))</f>
        <v>0.4397152667552483</v>
      </c>
      <c r="AK27" s="240">
        <f>$B27*Constants!$C$18/1000+IF(ISBLANK(Design!$B$32),Design!$B$31,Design!$B$32)*1000000*Constants!$D$22/1000000000*($B27-Constants!$C$21)</f>
        <v>4.4705000000000009E-2</v>
      </c>
      <c r="AL27" s="240">
        <f>$B27*AG27*($B27/(Constants!$C$23*1000000000)*IF(ISBLANK(Design!$B$32),Design!$B$31,Design!$B$32)*1000000/2+$B27/(Constants!$C$24*1000000000)*IF(ISBLANK(Design!$B$32),Design!$B$31,Design!$B$32)*1000000/2)</f>
        <v>7.4873877375731021E-2</v>
      </c>
      <c r="AM27" s="240">
        <f t="shared" ca="1" si="3"/>
        <v>7.8947695154568454E-2</v>
      </c>
      <c r="AN27" s="240">
        <f>Constants!$D$22/1000000000*Constants!$C$21*IF(ISBLANK(Design!$B$32),Design!$B$31,Design!$B$32)*1000000</f>
        <v>4.9999999999999996E-2</v>
      </c>
      <c r="AO27" s="240">
        <f t="shared" ca="1" si="11"/>
        <v>0.24852657253029947</v>
      </c>
      <c r="AP27" s="240">
        <f t="shared" ca="1" si="9"/>
        <v>0.19211918863510677</v>
      </c>
      <c r="AQ27" s="241">
        <f ca="1">$A27+AP27*Design!$B$19</f>
        <v>95.950793752201093</v>
      </c>
      <c r="AR27" s="241">
        <f ca="1">AO27*Design!$C$12+$A27</f>
        <v>93.449903466030179</v>
      </c>
      <c r="AS27" s="241">
        <f ca="1">Constants!$D$19+Constants!$D$19*Constants!$C$20/100*(AR27-25)</f>
        <v>116.48442995679005</v>
      </c>
      <c r="AT27" s="240">
        <f ca="1">(1-Constants!$C$17/1000000000*Design!$B$32*1000000) * ($B27+AH27-AG27*AS27/1000) - (AH27+AG27*(1+($A27-25)*Constants!$C$31/100)*IF(ISBLANK(Design!$B$40),Constants!$C$6/1000,Design!$B$40/1000))</f>
        <v>6.1487324993742378</v>
      </c>
      <c r="AU27" s="162">
        <f ca="1">IF(AT27&gt;Design!$C$28,Design!$C$28,AT27)</f>
        <v>3.3239005736137672</v>
      </c>
    </row>
    <row r="28" spans="1:47" s="163" customFormat="1" ht="12.75" customHeight="1">
      <c r="A28" s="155">
        <f>Design!$D$13</f>
        <v>85</v>
      </c>
      <c r="B28" s="156">
        <f t="shared" si="0"/>
        <v>7.080000000000001</v>
      </c>
      <c r="C28" s="157">
        <f>Design!$D$6</f>
        <v>3.5</v>
      </c>
      <c r="D28" s="157">
        <f ca="1">FORECAST(C28, OFFSET(Design!$C$15:$C$17,MATCH(C28,Design!$B$15:$B$17,1)-1,0,2), OFFSET(Design!$B$15:$B$17,MATCH(C28,Design!$B$15:$B$17,1)-1,0,2))+(M28-25)*Design!$B$18/1000</f>
        <v>0.40108626709824396</v>
      </c>
      <c r="E28" s="216">
        <f ca="1">IF(100*(Design!$C$28+D28+C28*IF(ISBLANK(Design!$B$40),Constants!$C$6,Design!$B$40)/1000*(1+Constants!$C$31/100*(N28-25)))/($B28+D28-C28*O28/1000)&gt;Design!$C$35,Design!$C$35,100*(Design!$C$28+D28+C28*IF(ISBLANK(Design!$B$40),Constants!$C$6,Design!$B$40)/1000*(1+Constants!$C$31/100*(N28-25)))/($B28+D28-C28*O28/1000))</f>
        <v>54.492339448149316</v>
      </c>
      <c r="F28" s="158">
        <f ca="1">IF(($B28-C28*IF(ISBLANK(Design!$B$40),Constants!$C$6,Design!$B$40)/1000*(1+Constants!$C$31/100*(N28-25))-Design!$C$28)/(IF(ISBLANK(Design!$B$39),Design!$B$38,Design!$B$39)/1000000)*E28/100/(IF(ISBLANK(Design!$B$32),Design!$B$31,Design!$B$32)*1000000)&lt;0, 0, ($B28-C28*IF(ISBLANK(Design!$B$40),Constants!$C$6,Design!$B$40)/1000*(1+Constants!$C$31/100*(N28-25))-Design!$C$28)/(IF(ISBLANK(Design!$B$39),Design!$B$38,Design!$B$39)/1000000)*E28/100/(IF(ISBLANK(Design!$B$32),Design!$B$31,Design!$B$32)*1000000))</f>
        <v>0.45308185917194127</v>
      </c>
      <c r="G28" s="208">
        <f>B28*Constants!$C$18/1000+IF(ISBLANK(Design!$B$32),Design!$B$31,Design!$B$32)*1000000*Constants!$D$22/1000000000*(B28-Constants!$C$21)</f>
        <v>4.2040000000000008E-2</v>
      </c>
      <c r="H28" s="208">
        <f>B28*C28*(B28/(Constants!$C$23*1000000000)*IF(ISBLANK(Design!$B$32),Design!$B$31,Design!$B$32)*1000000/2+B28/(Constants!$C$24*1000000000)*IF(ISBLANK(Design!$B$32),Design!$B$31,Design!$B$32)*1000000/2)</f>
        <v>0.21215778947368427</v>
      </c>
      <c r="I28" s="208">
        <f t="shared" ca="1" si="1"/>
        <v>0.89008541521604023</v>
      </c>
      <c r="J28" s="208">
        <f>Constants!$D$22/1000000000*Constants!$C$21*IF(ISBLANK(Design!$B$32),Design!$B$31,Design!$B$32)*1000000</f>
        <v>4.9999999999999996E-2</v>
      </c>
      <c r="K28" s="208">
        <f t="shared" ca="1" si="4"/>
        <v>1.1942832046897245</v>
      </c>
      <c r="L28" s="208">
        <f t="shared" ca="1" si="5"/>
        <v>0.63883741932905314</v>
      </c>
      <c r="M28" s="209">
        <f ca="1">A28+L28*Design!$B$19</f>
        <v>121.41373290175602</v>
      </c>
      <c r="N28" s="209">
        <f ca="1">K28*Design!$C$12+A28</f>
        <v>125.60562895945063</v>
      </c>
      <c r="O28" s="209">
        <f ca="1">Constants!$D$19+Constants!$D$19*Constants!$C$20/100*(N28-25)</f>
        <v>133.15395805257921</v>
      </c>
      <c r="P28" s="208">
        <f ca="1">(1-Constants!$C$17/1000000000*Design!$B$32*1000000) * ($B28+D28-C28*O28/1000) - (D28+C28*(1+($A28-25)*Constants!$C$31/100)*IF(ISBLANK(Design!$B$40),Constants!$C$6/1000,Design!$B$40/1000))</f>
        <v>5.6154989830071251</v>
      </c>
      <c r="Q28" s="214">
        <f ca="1">IF(P28&gt;Design!$C$28,Design!$C$28,P28)</f>
        <v>3.3239005736137672</v>
      </c>
      <c r="R28" s="224">
        <f>2*Design!$D$6/3</f>
        <v>2.3333333333333335</v>
      </c>
      <c r="S28" s="159">
        <f ca="1">FORECAST(R28, OFFSET(Design!$C$15:$C$17,MATCH(R28,Design!$B$15:$B$17,1)-1,0,2), OFFSET(Design!$B$15:$B$17,MATCH(R28,Design!$B$15:$B$17,1)-1,0,2))+(AB28-25)*Design!$B$18/1000</f>
        <v>0.38407372497444592</v>
      </c>
      <c r="T28" s="225">
        <f ca="1">IF(100*(Design!$C$28+S28+R28*IF(ISBLANK(Design!$B$40),Constants!$C$6,Design!$B$40)/1000*(1+Constants!$C$31/100*(AC28-25)))/($B28+S28-R28*AD28/1000)&gt;Design!$C$35,Design!$C$35,100*(Design!$C$28+S28+R28*IF(ISBLANK(Design!$B$40),Constants!$C$6,Design!$B$40)/1000*(1+Constants!$C$31/100*(AC28-25)))/($B28+S28-R28*AD28/1000))</f>
        <v>52.508318453778365</v>
      </c>
      <c r="U28" s="160">
        <f ca="1">IF(($B28-R28*IF(ISBLANK(Design!$B$40),Constants!$C$6,Design!$B$40)/1000*(1+Constants!$C$31/100*(AC28-25))-Design!$C$28)/(Design!$B$39/1000000)*T28/100/(IF(ISBLANK(IF(ISBLANK(Design!$B$39),Design!$B$38,Design!$B$39)),Design!$B$31,Design!$B$32)*1000000)&lt;0,0,($B28-R28*IF(ISBLANK(Design!$B$40),Constants!$C$6,Design!$B$40)/1000*(1+Constants!$C$31/100*(AC28-25))-Design!$C$28)/(IF(ISBLANK(Design!$B$39),Design!$B$38,Design!$B$39)/1000000)*T28/100/(IF(ISBLANK(Design!$B$32),Design!$B$31,Design!$B$32)*1000000))</f>
        <v>0.44092480418573182</v>
      </c>
      <c r="V28" s="226">
        <f>$B28*Constants!$C$18/1000+IF(ISBLANK(Design!$B$32),Design!$B$31,Design!$B$32)*1000000*Constants!$D$22/1000000000*($B28-Constants!$C$21)</f>
        <v>4.2040000000000008E-2</v>
      </c>
      <c r="W28" s="226">
        <f>$B28*R28*($B28/(Constants!$C$23*1000000000)*IF(ISBLANK(Design!$B$32),Design!$B$31,Design!$B$32)*1000000/2+$B28/(Constants!$C$24*1000000000)*IF(ISBLANK(Design!$B$32),Design!$B$31,Design!$B$32)*1000000/2)</f>
        <v>0.14143852631578951</v>
      </c>
      <c r="X28" s="226">
        <f t="shared" ca="1" si="2"/>
        <v>0.35097185378331819</v>
      </c>
      <c r="Y28" s="226">
        <f>Constants!$D$22/1000000000*Constants!$C$21*IF(ISBLANK(Design!$B$32),Design!$B$31,Design!$B$32)*1000000</f>
        <v>4.9999999999999996E-2</v>
      </c>
      <c r="Z28" s="226">
        <f t="shared" ca="1" si="10"/>
        <v>0.58445038009910777</v>
      </c>
      <c r="AA28" s="226">
        <f t="shared" ca="1" si="7"/>
        <v>0.42560716419100825</v>
      </c>
      <c r="AB28" s="227">
        <f ca="1">$A28+AA28*Design!$B$19</f>
        <v>109.25960835888748</v>
      </c>
      <c r="AC28" s="227">
        <f ca="1">Z28*Design!$C$12+$A28</f>
        <v>104.87131292336966</v>
      </c>
      <c r="AD28" s="227">
        <f ca="1">Constants!$D$19+Constants!$D$19*Constants!$C$20/100*(AC28-25)</f>
        <v>122.40528861947485</v>
      </c>
      <c r="AE28" s="226">
        <f ca="1">(1-Constants!$C$17/1000000000*Design!$B$32*1000000) * ($B28+S28-R28*AD28/1000) - (S28+R28*(1+($A28-25)*Constants!$C$31/100)*IF(ISBLANK(Design!$B$40),Constants!$C$6/1000,Design!$B$40/1000))</f>
        <v>5.8035170131891221</v>
      </c>
      <c r="AF28" s="160">
        <f ca="1">IF(AE28&gt;Design!$C$28,Design!$C$28,AE28)</f>
        <v>3.3239005736137672</v>
      </c>
      <c r="AG28" s="161">
        <f>Design!$D$6/3</f>
        <v>1.1666666666666667</v>
      </c>
      <c r="AH28" s="161">
        <f ca="1">FORECAST(AG28, OFFSET(Design!$C$15:$C$17,MATCH(AG28,Design!$B$15:$B$17,1)-1,0,2), OFFSET(Design!$B$15:$B$17,MATCH(AG28,Design!$B$15:$B$17,1)-1,0,2))+(AQ28-25)*Design!$B$18/1000</f>
        <v>0.32452437432079662</v>
      </c>
      <c r="AI28" s="239">
        <f ca="1">IF(100*(Design!$C$28+AH28+AG28*IF(ISBLANK(Design!$B$40),Constants!$C$6,Design!$B$40)/1000*(1+Constants!$C$31/100*(AR28-25)))/($B28+AH28-AG28*AS28/1000)&gt;Design!$C$35,Design!$C$35,100*(Design!$C$28+AH28+AG28*IF(ISBLANK(Design!$B$40),Constants!$C$6,Design!$B$40)/1000*(1+Constants!$C$31/100*(AR28-25)))/($B28+AH28-AG28*AS28/1000))</f>
        <v>50.600645740501513</v>
      </c>
      <c r="AJ28" s="162">
        <f ca="1">IF(($B28-AG28*IF(ISBLANK(Design!$B$40),Constants!$C$6,Design!$B$40)/1000*(1+Constants!$C$31/100*(AR28-25))-Design!$C$28)/(IF(ISBLANK(Design!$B$39),Design!$B$38,Design!$B$39)/1000000)*AI28/100/(IF(ISBLANK(Design!$B$32),Design!$B$31,Design!$B$32)*1000000)&lt;0,0,($B28-AG28*IF(ISBLANK(Design!$B$40),Constants!$C$6,Design!$B$40)/1000*(1+Constants!$C$31/100*(AR28-25))-Design!$C$28)/(IF(ISBLANK(Design!$B$39),Design!$B$38,Design!$B$39)/1000000)*AI28/100/(IF(ISBLANK(Design!$B$32),Design!$B$31,Design!$B$32)*1000000))</f>
        <v>0.42855341512128092</v>
      </c>
      <c r="AK28" s="240">
        <f>$B28*Constants!$C$18/1000+IF(ISBLANK(Design!$B$32),Design!$B$31,Design!$B$32)*1000000*Constants!$D$22/1000000000*($B28-Constants!$C$21)</f>
        <v>4.2040000000000008E-2</v>
      </c>
      <c r="AL28" s="240">
        <f>$B28*AG28*($B28/(Constants!$C$23*1000000000)*IF(ISBLANK(Design!$B$32),Design!$B$31,Design!$B$32)*1000000/2+$B28/(Constants!$C$24*1000000000)*IF(ISBLANK(Design!$B$32),Design!$B$31,Design!$B$32)*1000000/2)</f>
        <v>7.0719263157894757E-2</v>
      </c>
      <c r="AM28" s="240">
        <f t="shared" ca="1" si="3"/>
        <v>8.1070882586464874E-2</v>
      </c>
      <c r="AN28" s="240">
        <f>Constants!$D$22/1000000000*Constants!$C$21*IF(ISBLANK(Design!$B$32),Design!$B$31,Design!$B$32)*1000000</f>
        <v>4.9999999999999996E-2</v>
      </c>
      <c r="AO28" s="240">
        <f t="shared" ca="1" si="11"/>
        <v>0.24383014574435963</v>
      </c>
      <c r="AP28" s="240">
        <f t="shared" ca="1" si="9"/>
        <v>0.18703176955067646</v>
      </c>
      <c r="AQ28" s="241">
        <f ca="1">$A28+AP28*Design!$B$19</f>
        <v>95.660810864388566</v>
      </c>
      <c r="AR28" s="241">
        <f ca="1">AO28*Design!$C$12+$A28</f>
        <v>93.290224955308233</v>
      </c>
      <c r="AS28" s="241">
        <f ca="1">Constants!$D$19+Constants!$D$19*Constants!$C$20/100*(AR28-25)</f>
        <v>116.4016526168318</v>
      </c>
      <c r="AT28" s="240">
        <f ca="1">(1-Constants!$C$17/1000000000*Design!$B$32*1000000) * ($B28+AH28-AG28*AS28/1000) - (AH28+AG28*(1+($A28-25)*Constants!$C$31/100)*IF(ISBLANK(Design!$B$40),Constants!$C$6/1000,Design!$B$40/1000))</f>
        <v>5.9704288205988796</v>
      </c>
      <c r="AU28" s="162">
        <f ca="1">IF(AT28&gt;Design!$C$28,Design!$C$28,AT28)</f>
        <v>3.3239005736137672</v>
      </c>
    </row>
    <row r="29" spans="1:47" s="163" customFormat="1" ht="12.75" customHeight="1">
      <c r="A29" s="155">
        <f>Design!$D$13</f>
        <v>85</v>
      </c>
      <c r="B29" s="156">
        <f t="shared" si="0"/>
        <v>6.8750000000000009</v>
      </c>
      <c r="C29" s="157">
        <f>Design!$D$6</f>
        <v>3.5</v>
      </c>
      <c r="D29" s="157">
        <f ca="1">FORECAST(C29, OFFSET(Design!$C$15:$C$17,MATCH(C29,Design!$B$15:$B$17,1)-1,0,2), OFFSET(Design!$B$15:$B$17,MATCH(C29,Design!$B$15:$B$17,1)-1,0,2))+(M29-25)*Design!$B$18/1000</f>
        <v>0.40230563286778376</v>
      </c>
      <c r="E29" s="216">
        <f ca="1">IF(100*(Design!$C$28+D29+C29*IF(ISBLANK(Design!$B$40),Constants!$C$6,Design!$B$40)/1000*(1+Constants!$C$31/100*(N29-25)))/($B29+D29-C29*O29/1000)&gt;Design!$C$35,Design!$C$35,100*(Design!$C$28+D29+C29*IF(ISBLANK(Design!$B$40),Constants!$C$6,Design!$B$40)/1000*(1+Constants!$C$31/100*(N29-25)))/($B29+D29-C29*O29/1000))</f>
        <v>56.149540692949934</v>
      </c>
      <c r="F29" s="158">
        <f ca="1">IF(($B29-C29*IF(ISBLANK(Design!$B$40),Constants!$C$6,Design!$B$40)/1000*(1+Constants!$C$31/100*(N29-25))-Design!$C$28)/(IF(ISBLANK(Design!$B$39),Design!$B$38,Design!$B$39)/1000000)*E29/100/(IF(ISBLANK(Design!$B$32),Design!$B$31,Design!$B$32)*1000000)&lt;0, 0, ($B29-C29*IF(ISBLANK(Design!$B$40),Constants!$C$6,Design!$B$40)/1000*(1+Constants!$C$31/100*(N29-25))-Design!$C$28)/(IF(ISBLANK(Design!$B$39),Design!$B$38,Design!$B$39)/1000000)*E29/100/(IF(ISBLANK(Design!$B$32),Design!$B$31,Design!$B$32)*1000000))</f>
        <v>0.44068362824407964</v>
      </c>
      <c r="G29" s="208">
        <f>B29*Constants!$C$18/1000+IF(ISBLANK(Design!$B$32),Design!$B$31,Design!$B$32)*1000000*Constants!$D$22/1000000000*(B29-Constants!$C$21)</f>
        <v>3.9375000000000014E-2</v>
      </c>
      <c r="H29" s="208">
        <f>B29*C29*(B29/(Constants!$C$23*1000000000)*IF(ISBLANK(Design!$B$32),Design!$B$31,Design!$B$32)*1000000/2+B29/(Constants!$C$24*1000000000)*IF(ISBLANK(Design!$B$32),Design!$B$31,Design!$B$32)*1000000/2)</f>
        <v>0.20004968475877197</v>
      </c>
      <c r="I29" s="208">
        <f t="shared" ca="1" si="1"/>
        <v>0.91877467655810297</v>
      </c>
      <c r="J29" s="208">
        <f>Constants!$D$22/1000000000*Constants!$C$21*IF(ISBLANK(Design!$B$32),Design!$B$31,Design!$B$32)*1000000</f>
        <v>4.9999999999999996E-2</v>
      </c>
      <c r="K29" s="208">
        <f t="shared" ca="1" si="4"/>
        <v>1.2081993613168749</v>
      </c>
      <c r="L29" s="208">
        <f t="shared" ca="1" si="5"/>
        <v>0.61744503740730228</v>
      </c>
      <c r="M29" s="209">
        <f ca="1">A29+L29*Design!$B$19</f>
        <v>120.19436713221623</v>
      </c>
      <c r="N29" s="209">
        <f ca="1">K29*Design!$C$12+A29</f>
        <v>126.07877828477375</v>
      </c>
      <c r="O29" s="209">
        <f ca="1">Constants!$D$19+Constants!$D$19*Constants!$C$20/100*(N29-25)</f>
        <v>133.39923866282672</v>
      </c>
      <c r="P29" s="208">
        <f ca="1">(1-Constants!$C$17/1000000000*Design!$B$32*1000000) * ($B29+D29-C29*O29/1000) - (D29+C29*(1+($A29-25)*Constants!$C$31/100)*IF(ISBLANK(Design!$B$40),Constants!$C$6/1000,Design!$B$40/1000))</f>
        <v>5.4362435859988807</v>
      </c>
      <c r="Q29" s="214">
        <f ca="1">IF(P29&gt;Design!$C$28,Design!$C$28,P29)</f>
        <v>3.3239005736137672</v>
      </c>
      <c r="R29" s="224">
        <f>2*Design!$D$6/3</f>
        <v>2.3333333333333335</v>
      </c>
      <c r="S29" s="159">
        <f ca="1">FORECAST(R29, OFFSET(Design!$C$15:$C$17,MATCH(R29,Design!$B$15:$B$17,1)-1,0,2), OFFSET(Design!$B$15:$B$17,MATCH(R29,Design!$B$15:$B$17,1)-1,0,2))+(AB29-25)*Design!$B$18/1000</f>
        <v>0.38481908672999549</v>
      </c>
      <c r="T29" s="225">
        <f ca="1">IF(100*(Design!$C$28+S29+R29*IF(ISBLANK(Design!$B$40),Constants!$C$6,Design!$B$40)/1000*(1+Constants!$C$31/100*(AC29-25)))/($B29+S29-R29*AD29/1000)&gt;Design!$C$35,Design!$C$35,100*(Design!$C$28+S29+R29*IF(ISBLANK(Design!$B$40),Constants!$C$6,Design!$B$40)/1000*(1+Constants!$C$31/100*(AC29-25)))/($B29+S29-R29*AD29/1000))</f>
        <v>54.056632651984984</v>
      </c>
      <c r="U29" s="160">
        <f ca="1">IF(($B29-R29*IF(ISBLANK(Design!$B$40),Constants!$C$6,Design!$B$40)/1000*(1+Constants!$C$31/100*(AC29-25))-Design!$C$28)/(Design!$B$39/1000000)*T29/100/(IF(ISBLANK(IF(ISBLANK(Design!$B$39),Design!$B$38,Design!$B$39)),Design!$B$31,Design!$B$32)*1000000)&lt;0,0,($B29-R29*IF(ISBLANK(Design!$B$40),Constants!$C$6,Design!$B$40)/1000*(1+Constants!$C$31/100*(AC29-25))-Design!$C$28)/(IF(ISBLANK(Design!$B$39),Design!$B$38,Design!$B$39)/1000000)*T29/100/(IF(ISBLANK(Design!$B$32),Design!$B$31,Design!$B$32)*1000000))</f>
        <v>0.42874124989305229</v>
      </c>
      <c r="V29" s="226">
        <f>$B29*Constants!$C$18/1000+IF(ISBLANK(Design!$B$32),Design!$B$31,Design!$B$32)*1000000*Constants!$D$22/1000000000*($B29-Constants!$C$21)</f>
        <v>3.9375000000000014E-2</v>
      </c>
      <c r="W29" s="226">
        <f>$B29*R29*($B29/(Constants!$C$23*1000000000)*IF(ISBLANK(Design!$B$32),Design!$B$31,Design!$B$32)*1000000/2+$B29/(Constants!$C$24*1000000000)*IF(ISBLANK(Design!$B$32),Design!$B$31,Design!$B$32)*1000000/2)</f>
        <v>0.133366456505848</v>
      </c>
      <c r="X29" s="226">
        <f t="shared" ca="1" si="2"/>
        <v>0.36123805127846365</v>
      </c>
      <c r="Y29" s="226">
        <f>Constants!$D$22/1000000000*Constants!$C$21*IF(ISBLANK(Design!$B$32),Design!$B$31,Design!$B$32)*1000000</f>
        <v>4.9999999999999996E-2</v>
      </c>
      <c r="Z29" s="226">
        <f t="shared" ca="1" si="10"/>
        <v>0.58397950778431174</v>
      </c>
      <c r="AA29" s="226">
        <f t="shared" ca="1" si="7"/>
        <v>0.41253064216382285</v>
      </c>
      <c r="AB29" s="227">
        <f ca="1">$A29+AA29*Design!$B$19</f>
        <v>108.51424660333791</v>
      </c>
      <c r="AC29" s="227">
        <f ca="1">Z29*Design!$C$12+$A29</f>
        <v>104.8553032646666</v>
      </c>
      <c r="AD29" s="227">
        <f ca="1">Constants!$D$19+Constants!$D$19*Constants!$C$20/100*(AC29-25)</f>
        <v>122.39698921240317</v>
      </c>
      <c r="AE29" s="226">
        <f ca="1">(1-Constants!$C$17/1000000000*Design!$B$32*1000000) * ($B29+S29-R29*AD29/1000) - (S29+R29*(1+($A29-25)*Constants!$C$31/100)*IF(ISBLANK(Design!$B$40),Constants!$C$6/1000,Design!$B$40/1000))</f>
        <v>5.6250869639572567</v>
      </c>
      <c r="AF29" s="160">
        <f ca="1">IF(AE29&gt;Design!$C$28,Design!$C$28,AE29)</f>
        <v>3.3239005736137672</v>
      </c>
      <c r="AG29" s="161">
        <f>Design!$D$6/3</f>
        <v>1.1666666666666667</v>
      </c>
      <c r="AH29" s="161">
        <f ca="1">FORECAST(AG29, OFFSET(Design!$C$15:$C$17,MATCH(AG29,Design!$B$15:$B$17,1)-1,0,2), OFFSET(Design!$B$15:$B$17,MATCH(AG29,Design!$B$15:$B$17,1)-1,0,2))+(AQ29-25)*Design!$B$18/1000</f>
        <v>0.32483175590821955</v>
      </c>
      <c r="AI29" s="239">
        <f ca="1">IF(100*(Design!$C$28+AH29+AG29*IF(ISBLANK(Design!$B$40),Constants!$C$6,Design!$B$40)/1000*(1+Constants!$C$31/100*(AR29-25)))/($B29+AH29-AG29*AS29/1000)&gt;Design!$C$35,Design!$C$35,100*(Design!$C$28+AH29+AG29*IF(ISBLANK(Design!$B$40),Constants!$C$6,Design!$B$40)/1000*(1+Constants!$C$31/100*(AR29-25)))/($B29+AH29-AG29*AS29/1000))</f>
        <v>52.070367817418038</v>
      </c>
      <c r="AJ29" s="162">
        <f ca="1">IF(($B29-AG29*IF(ISBLANK(Design!$B$40),Constants!$C$6,Design!$B$40)/1000*(1+Constants!$C$31/100*(AR29-25))-Design!$C$28)/(IF(ISBLANK(Design!$B$39),Design!$B$38,Design!$B$39)/1000000)*AI29/100/(IF(ISBLANK(Design!$B$32),Design!$B$31,Design!$B$32)*1000000)&lt;0,0,($B29-AG29*IF(ISBLANK(Design!$B$40),Constants!$C$6,Design!$B$40)/1000*(1+Constants!$C$31/100*(AR29-25))-Design!$C$28)/(IF(ISBLANK(Design!$B$39),Design!$B$38,Design!$B$39)/1000000)*AI29/100/(IF(ISBLANK(Design!$B$32),Design!$B$31,Design!$B$32)*1000000))</f>
        <v>0.41674255723496811</v>
      </c>
      <c r="AK29" s="240">
        <f>$B29*Constants!$C$18/1000+IF(ISBLANK(Design!$B$32),Design!$B$31,Design!$B$32)*1000000*Constants!$D$22/1000000000*($B29-Constants!$C$21)</f>
        <v>3.9375000000000014E-2</v>
      </c>
      <c r="AL29" s="240">
        <f>$B29*AG29*($B29/(Constants!$C$23*1000000000)*IF(ISBLANK(Design!$B$32),Design!$B$31,Design!$B$32)*1000000/2+$B29/(Constants!$C$24*1000000000)*IF(ISBLANK(Design!$B$32),Design!$B$31,Design!$B$32)*1000000/2)</f>
        <v>6.6683228252923998E-2</v>
      </c>
      <c r="AM29" s="240">
        <f t="shared" ca="1" si="3"/>
        <v>8.3318985033193738E-2</v>
      </c>
      <c r="AN29" s="240">
        <f>Constants!$D$22/1000000000*Constants!$C$21*IF(ISBLANK(Design!$B$32),Design!$B$31,Design!$B$32)*1000000</f>
        <v>4.9999999999999996E-2</v>
      </c>
      <c r="AO29" s="240">
        <f t="shared" ca="1" si="11"/>
        <v>0.23937721328611775</v>
      </c>
      <c r="AP29" s="240">
        <f t="shared" ca="1" si="9"/>
        <v>0.1816391101222041</v>
      </c>
      <c r="AQ29" s="241">
        <f ca="1">$A29+AP29*Design!$B$19</f>
        <v>95.353429276965628</v>
      </c>
      <c r="AR29" s="241">
        <f ca="1">AO29*Design!$C$12+$A29</f>
        <v>93.138825251728008</v>
      </c>
      <c r="AS29" s="241">
        <f ca="1">Constants!$D$19+Constants!$D$19*Constants!$C$20/100*(AR29-25)</f>
        <v>116.32316701049581</v>
      </c>
      <c r="AT29" s="240">
        <f ca="1">(1-Constants!$C$17/1000000000*Design!$B$32*1000000) * ($B29+AH29-AG29*AS29/1000) - (AH29+AG29*(1+($A29-25)*Constants!$C$31/100)*IF(ISBLANK(Design!$B$40),Constants!$C$6/1000,Design!$B$40/1000))</f>
        <v>5.7921185238829453</v>
      </c>
      <c r="AU29" s="162">
        <f ca="1">IF(AT29&gt;Design!$C$28,Design!$C$28,AT29)</f>
        <v>3.3239005736137672</v>
      </c>
    </row>
    <row r="30" spans="1:47" s="163" customFormat="1" ht="12.75" customHeight="1">
      <c r="A30" s="155">
        <f>Design!$D$13</f>
        <v>85</v>
      </c>
      <c r="B30" s="156">
        <f t="shared" si="0"/>
        <v>6.6700000000000008</v>
      </c>
      <c r="C30" s="157">
        <f>Design!$D$6</f>
        <v>3.5</v>
      </c>
      <c r="D30" s="157">
        <f ca="1">FORECAST(C30, OFFSET(Design!$C$15:$C$17,MATCH(C30,Design!$B$15:$B$17,1)-1,0,2), OFFSET(Design!$B$15:$B$17,MATCH(C30,Design!$B$15:$B$17,1)-1,0,2))+(M30-25)*Design!$B$18/1000</f>
        <v>0.40361035197718054</v>
      </c>
      <c r="E30" s="216">
        <f ca="1">IF(100*(Design!$C$28+D30+C30*IF(ISBLANK(Design!$B$40),Constants!$C$6,Design!$B$40)/1000*(1+Constants!$C$31/100*(N30-25)))/($B30+D30-C30*O30/1000)&gt;Design!$C$35,Design!$C$35,100*(Design!$C$28+D30+C30*IF(ISBLANK(Design!$B$40),Constants!$C$6,Design!$B$40)/1000*(1+Constants!$C$31/100*(N30-25)))/($B30+D30-C30*O30/1000))</f>
        <v>57.911653755166306</v>
      </c>
      <c r="F30" s="158">
        <f ca="1">IF(($B30-C30*IF(ISBLANK(Design!$B$40),Constants!$C$6,Design!$B$40)/1000*(1+Constants!$C$31/100*(N30-25))-Design!$C$28)/(IF(ISBLANK(Design!$B$39),Design!$B$38,Design!$B$39)/1000000)*E30/100/(IF(ISBLANK(Design!$B$32),Design!$B$31,Design!$B$32)*1000000)&lt;0, 0, ($B30-C30*IF(ISBLANK(Design!$B$40),Constants!$C$6,Design!$B$40)/1000*(1+Constants!$C$31/100*(N30-25))-Design!$C$28)/(IF(ISBLANK(Design!$B$39),Design!$B$38,Design!$B$39)/1000000)*E30/100/(IF(ISBLANK(Design!$B$32),Design!$B$31,Design!$B$32)*1000000))</f>
        <v>0.42751163361957584</v>
      </c>
      <c r="G30" s="208">
        <f>B30*Constants!$C$18/1000+IF(ISBLANK(Design!$B$32),Design!$B$31,Design!$B$32)*1000000*Constants!$D$22/1000000000*(B30-Constants!$C$21)</f>
        <v>3.6710000000000007E-2</v>
      </c>
      <c r="H30" s="208">
        <f>B30*C30*(B30/(Constants!$C$23*1000000000)*IF(ISBLANK(Design!$B$32),Design!$B$31,Design!$B$32)*1000000/2+B30/(Constants!$C$24*1000000000)*IF(ISBLANK(Design!$B$32),Design!$B$31,Design!$B$32)*1000000/2)</f>
        <v>0.18829731798245619</v>
      </c>
      <c r="I30" s="208">
        <f t="shared" ca="1" si="1"/>
        <v>0.94958707158310629</v>
      </c>
      <c r="J30" s="208">
        <f>Constants!$D$22/1000000000*Constants!$C$21*IF(ISBLANK(Design!$B$32),Design!$B$31,Design!$B$32)*1000000</f>
        <v>4.9999999999999996E-2</v>
      </c>
      <c r="K30" s="208">
        <f t="shared" ca="1" si="4"/>
        <v>1.2245943895655624</v>
      </c>
      <c r="L30" s="208">
        <f t="shared" ca="1" si="5"/>
        <v>0.59455522847051712</v>
      </c>
      <c r="M30" s="209">
        <f ca="1">A30+L30*Design!$B$19</f>
        <v>118.88964802281947</v>
      </c>
      <c r="N30" s="209">
        <f ca="1">K30*Design!$C$12+A30</f>
        <v>126.63620924522913</v>
      </c>
      <c r="O30" s="209">
        <f ca="1">Constants!$D$19+Constants!$D$19*Constants!$C$20/100*(N30-25)</f>
        <v>133.68821087272678</v>
      </c>
      <c r="P30" s="208">
        <f ca="1">(1-Constants!$C$17/1000000000*Design!$B$32*1000000) * ($B30+D30-C30*O30/1000) - (D30+C30*(1+($A30-25)*Constants!$C$31/100)*IF(ISBLANK(Design!$B$40),Constants!$C$6/1000,Design!$B$40/1000))</f>
        <v>5.2568440521355138</v>
      </c>
      <c r="Q30" s="214">
        <f ca="1">IF(P30&gt;Design!$C$28,Design!$C$28,P30)</f>
        <v>3.3239005736137672</v>
      </c>
      <c r="R30" s="224">
        <f>2*Design!$D$6/3</f>
        <v>2.3333333333333335</v>
      </c>
      <c r="S30" s="159">
        <f ca="1">FORECAST(R30, OFFSET(Design!$C$15:$C$17,MATCH(R30,Design!$B$15:$B$17,1)-1,0,2), OFFSET(Design!$B$15:$B$17,MATCH(R30,Design!$B$15:$B$17,1)-1,0,2))+(AB30-25)*Design!$B$18/1000</f>
        <v>0.38561292983648948</v>
      </c>
      <c r="T30" s="225">
        <f ca="1">IF(100*(Design!$C$28+S30+R30*IF(ISBLANK(Design!$B$40),Constants!$C$6,Design!$B$40)/1000*(1+Constants!$C$31/100*(AC30-25)))/($B30+S30-R30*AD30/1000)&gt;Design!$C$35,Design!$C$35,100*(Design!$C$28+S30+R30*IF(ISBLANK(Design!$B$40),Constants!$C$6,Design!$B$40)/1000*(1+Constants!$C$31/100*(AC30-25)))/($B30+S30-R30*AD30/1000))</f>
        <v>55.699073277323485</v>
      </c>
      <c r="U30" s="160">
        <f ca="1">IF(($B30-R30*IF(ISBLANK(Design!$B$40),Constants!$C$6,Design!$B$40)/1000*(1+Constants!$C$31/100*(AC30-25))-Design!$C$28)/(Design!$B$39/1000000)*T30/100/(IF(ISBLANK(IF(ISBLANK(Design!$B$39),Design!$B$38,Design!$B$39)),Design!$B$31,Design!$B$32)*1000000)&lt;0,0,($B30-R30*IF(ISBLANK(Design!$B$40),Constants!$C$6,Design!$B$40)/1000*(1+Constants!$C$31/100*(AC30-25))-Design!$C$28)/(IF(ISBLANK(Design!$B$39),Design!$B$38,Design!$B$39)/1000000)*T30/100/(IF(ISBLANK(Design!$B$32),Design!$B$31,Design!$B$32)*1000000))</f>
        <v>0.4158169465769746</v>
      </c>
      <c r="V30" s="226">
        <f>$B30*Constants!$C$18/1000+IF(ISBLANK(Design!$B$32),Design!$B$31,Design!$B$32)*1000000*Constants!$D$22/1000000000*($B30-Constants!$C$21)</f>
        <v>3.6710000000000007E-2</v>
      </c>
      <c r="W30" s="226">
        <f>$B30*R30*($B30/(Constants!$C$23*1000000000)*IF(ISBLANK(Design!$B$32),Design!$B$31,Design!$B$32)*1000000/2+$B30/(Constants!$C$24*1000000000)*IF(ISBLANK(Design!$B$32),Design!$B$31,Design!$B$32)*1000000/2)</f>
        <v>0.12553154532163749</v>
      </c>
      <c r="X30" s="226">
        <f t="shared" ca="1" si="2"/>
        <v>0.37217522211224352</v>
      </c>
      <c r="Y30" s="226">
        <f>Constants!$D$22/1000000000*Constants!$C$21*IF(ISBLANK(Design!$B$32),Design!$B$31,Design!$B$32)*1000000</f>
        <v>4.9999999999999996E-2</v>
      </c>
      <c r="Z30" s="226">
        <f t="shared" ca="1" si="10"/>
        <v>0.58441676743388105</v>
      </c>
      <c r="AA30" s="226">
        <f t="shared" ca="1" si="7"/>
        <v>0.3986035701200682</v>
      </c>
      <c r="AB30" s="227">
        <f ca="1">$A30+AA30*Design!$B$19</f>
        <v>107.72040349684389</v>
      </c>
      <c r="AC30" s="227">
        <f ca="1">Z30*Design!$C$12+$A30</f>
        <v>104.87017009275195</v>
      </c>
      <c r="AD30" s="227">
        <f ca="1">Constants!$D$19+Constants!$D$19*Constants!$C$20/100*(AC30-25)</f>
        <v>122.40469617608261</v>
      </c>
      <c r="AE30" s="226">
        <f ca="1">(1-Constants!$C$17/1000000000*Design!$B$32*1000000) * ($B30+S30-R30*AD30/1000) - (S30+R30*(1+($A30-25)*Constants!$C$31/100)*IF(ISBLANK(Design!$B$40),Constants!$C$6/1000,Design!$B$40/1000))</f>
        <v>5.4466181192171428</v>
      </c>
      <c r="AF30" s="160">
        <f ca="1">IF(AE30&gt;Design!$C$28,Design!$C$28,AE30)</f>
        <v>3.3239005736137672</v>
      </c>
      <c r="AG30" s="161">
        <f>Design!$D$6/3</f>
        <v>1.1666666666666667</v>
      </c>
      <c r="AH30" s="161">
        <f ca="1">FORECAST(AG30, OFFSET(Design!$C$15:$C$17,MATCH(AG30,Design!$B$15:$B$17,1)-1,0,2), OFFSET(Design!$B$15:$B$17,MATCH(AG30,Design!$B$15:$B$17,1)-1,0,2))+(AQ30-25)*Design!$B$18/1000</f>
        <v>0.32515814827658096</v>
      </c>
      <c r="AI30" s="239">
        <f ca="1">IF(100*(Design!$C$28+AH30+AG30*IF(ISBLANK(Design!$B$40),Constants!$C$6,Design!$B$40)/1000*(1+Constants!$C$31/100*(AR30-25)))/($B30+AH30-AG30*AS30/1000)&gt;Design!$C$35,Design!$C$35,100*(Design!$C$28+AH30+AG30*IF(ISBLANK(Design!$B$40),Constants!$C$6,Design!$B$40)/1000*(1+Constants!$C$31/100*(AR30-25)))/($B30+AH30-AG30*AS30/1000))</f>
        <v>53.627946676714636</v>
      </c>
      <c r="AJ30" s="162">
        <f ca="1">IF(($B30-AG30*IF(ISBLANK(Design!$B$40),Constants!$C$6,Design!$B$40)/1000*(1+Constants!$C$31/100*(AR30-25))-Design!$C$28)/(IF(ISBLANK(Design!$B$39),Design!$B$38,Design!$B$39)/1000000)*AI30/100/(IF(ISBLANK(Design!$B$32),Design!$B$31,Design!$B$32)*1000000)&lt;0,0,($B30-AG30*IF(ISBLANK(Design!$B$40),Constants!$C$6,Design!$B$40)/1000*(1+Constants!$C$31/100*(AR30-25))-Design!$C$28)/(IF(ISBLANK(Design!$B$39),Design!$B$38,Design!$B$39)/1000000)*AI30/100/(IF(ISBLANK(Design!$B$32),Design!$B$31,Design!$B$32)*1000000))</f>
        <v>0.40422440832812795</v>
      </c>
      <c r="AK30" s="240">
        <f>$B30*Constants!$C$18/1000+IF(ISBLANK(Design!$B$32),Design!$B$31,Design!$B$32)*1000000*Constants!$D$22/1000000000*($B30-Constants!$C$21)</f>
        <v>3.6710000000000007E-2</v>
      </c>
      <c r="AL30" s="240">
        <f>$B30*AG30*($B30/(Constants!$C$23*1000000000)*IF(ISBLANK(Design!$B$32),Design!$B$31,Design!$B$32)*1000000/2+$B30/(Constants!$C$24*1000000000)*IF(ISBLANK(Design!$B$32),Design!$B$31,Design!$B$32)*1000000/2)</f>
        <v>6.2765772660818744E-2</v>
      </c>
      <c r="AM30" s="240">
        <f t="shared" ca="1" si="3"/>
        <v>8.5703326458499027E-2</v>
      </c>
      <c r="AN30" s="240">
        <f>Constants!$D$22/1000000000*Constants!$C$21*IF(ISBLANK(Design!$B$32),Design!$B$31,Design!$B$32)*1000000</f>
        <v>4.9999999999999996E-2</v>
      </c>
      <c r="AO30" s="240">
        <f t="shared" ca="1" si="11"/>
        <v>0.23517909911931778</v>
      </c>
      <c r="AP30" s="240">
        <f t="shared" ca="1" si="9"/>
        <v>0.17591292822112733</v>
      </c>
      <c r="AQ30" s="241">
        <f ca="1">$A30+AP30*Design!$B$19</f>
        <v>95.027036908604259</v>
      </c>
      <c r="AR30" s="241">
        <f ca="1">AO30*Design!$C$12+$A30</f>
        <v>92.996089370056808</v>
      </c>
      <c r="AS30" s="241">
        <f ca="1">Constants!$D$19+Constants!$D$19*Constants!$C$20/100*(AR30-25)</f>
        <v>116.24917272943745</v>
      </c>
      <c r="AT30" s="240">
        <f ca="1">(1-Constants!$C$17/1000000000*Design!$B$32*1000000) * ($B30+AH30-AG30*AS30/1000) - (AH30+AG30*(1+($A30-25)*Constants!$C$31/100)*IF(ISBLANK(Design!$B$40),Constants!$C$6/1000,Design!$B$40/1000))</f>
        <v>5.613801197070333</v>
      </c>
      <c r="AU30" s="162">
        <f ca="1">IF(AT30&gt;Design!$C$28,Design!$C$28,AT30)</f>
        <v>3.3239005736137672</v>
      </c>
    </row>
    <row r="31" spans="1:47" s="163" customFormat="1" ht="12.75" customHeight="1">
      <c r="A31" s="155">
        <f>Design!$D$13</f>
        <v>85</v>
      </c>
      <c r="B31" s="156">
        <f t="shared" si="0"/>
        <v>6.4650000000000007</v>
      </c>
      <c r="C31" s="157">
        <f>Design!$D$6</f>
        <v>3.5</v>
      </c>
      <c r="D31" s="157">
        <f ca="1">FORECAST(C31, OFFSET(Design!$C$15:$C$17,MATCH(C31,Design!$B$15:$B$17,1)-1,0,2), OFFSET(Design!$B$15:$B$17,MATCH(C31,Design!$B$15:$B$17,1)-1,0,2))+(M31-25)*Design!$B$18/1000</f>
        <v>0.40500976007649236</v>
      </c>
      <c r="E31" s="216">
        <f ca="1">IF(100*(Design!$C$28+D31+C31*IF(ISBLANK(Design!$B$40),Constants!$C$6,Design!$B$40)/1000*(1+Constants!$C$31/100*(N31-25)))/($B31+D31-C31*O31/1000)&gt;Design!$C$35,Design!$C$35,100*(Design!$C$28+D31+C31*IF(ISBLANK(Design!$B$40),Constants!$C$6,Design!$B$40)/1000*(1+Constants!$C$31/100*(N31-25)))/($B31+D31-C31*O31/1000))</f>
        <v>59.789031886420993</v>
      </c>
      <c r="F31" s="158">
        <f ca="1">IF(($B31-C31*IF(ISBLANK(Design!$B$40),Constants!$C$6,Design!$B$40)/1000*(1+Constants!$C$31/100*(N31-25))-Design!$C$28)/(IF(ISBLANK(Design!$B$39),Design!$B$38,Design!$B$39)/1000000)*E31/100/(IF(ISBLANK(Design!$B$32),Design!$B$31,Design!$B$32)*1000000)&lt;0, 0, ($B31-C31*IF(ISBLANK(Design!$B$40),Constants!$C$6,Design!$B$40)/1000*(1+Constants!$C$31/100*(N31-25))-Design!$C$28)/(IF(ISBLANK(Design!$B$39),Design!$B$38,Design!$B$39)/1000000)*E31/100/(IF(ISBLANK(Design!$B$32),Design!$B$31,Design!$B$32)*1000000))</f>
        <v>0.41349014525375516</v>
      </c>
      <c r="G31" s="208">
        <f>B31*Constants!$C$18/1000+IF(ISBLANK(Design!$B$32),Design!$B$31,Design!$B$32)*1000000*Constants!$D$22/1000000000*(B31-Constants!$C$21)</f>
        <v>3.4045000000000013E-2</v>
      </c>
      <c r="H31" s="208">
        <f>B31*C31*(B31/(Constants!$C$23*1000000000)*IF(ISBLANK(Design!$B$32),Design!$B$31,Design!$B$32)*1000000/2+B31/(Constants!$C$24*1000000000)*IF(ISBLANK(Design!$B$32),Design!$B$31,Design!$B$32)*1000000/2)</f>
        <v>0.17690068914473689</v>
      </c>
      <c r="I31" s="208">
        <f t="shared" ca="1" si="1"/>
        <v>0.98276253403081137</v>
      </c>
      <c r="J31" s="208">
        <f>Constants!$D$22/1000000000*Constants!$C$21*IF(ISBLANK(Design!$B$32),Design!$B$31,Design!$B$32)*1000000</f>
        <v>4.9999999999999996E-2</v>
      </c>
      <c r="K31" s="208">
        <f t="shared" ca="1" si="4"/>
        <v>1.2437082231755483</v>
      </c>
      <c r="L31" s="208">
        <f t="shared" ca="1" si="5"/>
        <v>0.57000420918434413</v>
      </c>
      <c r="M31" s="209">
        <f ca="1">A31+L31*Design!$B$19</f>
        <v>117.49023992350762</v>
      </c>
      <c r="N31" s="209">
        <f ca="1">K31*Design!$C$12+A31</f>
        <v>127.28607958796864</v>
      </c>
      <c r="O31" s="209">
        <f ca="1">Constants!$D$19+Constants!$D$19*Constants!$C$20/100*(N31-25)</f>
        <v>134.02510365840294</v>
      </c>
      <c r="P31" s="208">
        <f ca="1">(1-Constants!$C$17/1000000000*Design!$B$32*1000000) * ($B31+D31-C31*O31/1000) - (D31+C31*(1+($A31-25)*Constants!$C$31/100)*IF(ISBLANK(Design!$B$40),Constants!$C$6/1000,Design!$B$40/1000))</f>
        <v>5.0772862905502194</v>
      </c>
      <c r="Q31" s="214">
        <f ca="1">IF(P31&gt;Design!$C$28,Design!$C$28,P31)</f>
        <v>3.3239005736137672</v>
      </c>
      <c r="R31" s="224">
        <f>2*Design!$D$6/3</f>
        <v>2.3333333333333335</v>
      </c>
      <c r="S31" s="159">
        <f ca="1">FORECAST(R31, OFFSET(Design!$C$15:$C$17,MATCH(R31,Design!$B$15:$B$17,1)-1,0,2), OFFSET(Design!$B$15:$B$17,MATCH(R31,Design!$B$15:$B$17,1)-1,0,2))+(AB31-25)*Design!$B$18/1000</f>
        <v>0.38646013584787442</v>
      </c>
      <c r="T31" s="225">
        <f ca="1">IF(100*(Design!$C$28+S31+R31*IF(ISBLANK(Design!$B$40),Constants!$C$6,Design!$B$40)/1000*(1+Constants!$C$31/100*(AC31-25)))/($B31+S31-R31*AD31/1000)&gt;Design!$C$35,Design!$C$35,100*(Design!$C$28+S31+R31*IF(ISBLANK(Design!$B$40),Constants!$C$6,Design!$B$40)/1000*(1+Constants!$C$31/100*(AC31-25)))/($B31+S31-R31*AD31/1000))</f>
        <v>57.444477136354919</v>
      </c>
      <c r="U31" s="160">
        <f ca="1">IF(($B31-R31*IF(ISBLANK(Design!$B$40),Constants!$C$6,Design!$B$40)/1000*(1+Constants!$C$31/100*(AC31-25))-Design!$C$28)/(Design!$B$39/1000000)*T31/100/(IF(ISBLANK(IF(ISBLANK(Design!$B$39),Design!$B$38,Design!$B$39)),Design!$B$31,Design!$B$32)*1000000)&lt;0,0,($B31-R31*IF(ISBLANK(Design!$B$40),Constants!$C$6,Design!$B$40)/1000*(1+Constants!$C$31/100*(AC31-25))-Design!$C$28)/(IF(ISBLANK(Design!$B$39),Design!$B$38,Design!$B$39)/1000000)*T31/100/(IF(ISBLANK(Design!$B$32),Design!$B$31,Design!$B$32)*1000000))</f>
        <v>0.40208206487974407</v>
      </c>
      <c r="V31" s="226">
        <f>$B31*Constants!$C$18/1000+IF(ISBLANK(Design!$B$32),Design!$B$31,Design!$B$32)*1000000*Constants!$D$22/1000000000*($B31-Constants!$C$21)</f>
        <v>3.4045000000000013E-2</v>
      </c>
      <c r="W31" s="226">
        <f>$B31*R31*($B31/(Constants!$C$23*1000000000)*IF(ISBLANK(Design!$B$32),Design!$B$31,Design!$B$32)*1000000/2+$B31/(Constants!$C$24*1000000000)*IF(ISBLANK(Design!$B$32),Design!$B$31,Design!$B$32)*1000000/2)</f>
        <v>0.11793379276315794</v>
      </c>
      <c r="X31" s="226">
        <f t="shared" ca="1" si="2"/>
        <v>0.38385002996225986</v>
      </c>
      <c r="Y31" s="226">
        <f>Constants!$D$22/1000000000*Constants!$C$21*IF(ISBLANK(Design!$B$32),Design!$B$31,Design!$B$32)*1000000</f>
        <v>4.9999999999999996E-2</v>
      </c>
      <c r="Z31" s="226">
        <f t="shared" ca="1" si="10"/>
        <v>0.58582882272541781</v>
      </c>
      <c r="AA31" s="226">
        <f t="shared" ca="1" si="7"/>
        <v>0.38374030676243748</v>
      </c>
      <c r="AB31" s="227">
        <f ca="1">$A31+AA31*Design!$B$19</f>
        <v>106.87319748545893</v>
      </c>
      <c r="AC31" s="227">
        <f ca="1">Z31*Design!$C$12+$A31</f>
        <v>104.91817997266421</v>
      </c>
      <c r="AD31" s="227">
        <f ca="1">Constants!$D$19+Constants!$D$19*Constants!$C$20/100*(AC31-25)</f>
        <v>122.42958449782913</v>
      </c>
      <c r="AE31" s="226">
        <f ca="1">(1-Constants!$C$17/1000000000*Design!$B$32*1000000) * ($B31+S31-R31*AD31/1000) - (S31+R31*(1+($A31-25)*Constants!$C$31/100)*IF(ISBLANK(Design!$B$40),Constants!$C$6/1000,Design!$B$40/1000))</f>
        <v>5.2681074591425165</v>
      </c>
      <c r="AF31" s="160">
        <f ca="1">IF(AE31&gt;Design!$C$28,Design!$C$28,AE31)</f>
        <v>3.3239005736137672</v>
      </c>
      <c r="AG31" s="161">
        <f>Design!$D$6/3</f>
        <v>1.1666666666666667</v>
      </c>
      <c r="AH31" s="161">
        <f ca="1">FORECAST(AG31, OFFSET(Design!$C$15:$C$17,MATCH(AG31,Design!$B$15:$B$17,1)-1,0,2), OFFSET(Design!$B$15:$B$17,MATCH(AG31,Design!$B$15:$B$17,1)-1,0,2))+(AQ31-25)*Design!$B$18/1000</f>
        <v>0.32550536872518465</v>
      </c>
      <c r="AI31" s="239">
        <f ca="1">IF(100*(Design!$C$28+AH31+AG31*IF(ISBLANK(Design!$B$40),Constants!$C$6,Design!$B$40)/1000*(1+Constants!$C$31/100*(AR31-25)))/($B31+AH31-AG31*AS31/1000)&gt;Design!$C$35,Design!$C$35,100*(Design!$C$28+AH31+AG31*IF(ISBLANK(Design!$B$40),Constants!$C$6,Design!$B$40)/1000*(1+Constants!$C$31/100*(AR31-25)))/($B31+AH31-AG31*AS31/1000))</f>
        <v>55.28149033469942</v>
      </c>
      <c r="AJ31" s="162">
        <f ca="1">IF(($B31-AG31*IF(ISBLANK(Design!$B$40),Constants!$C$6,Design!$B$40)/1000*(1+Constants!$C$31/100*(AR31-25))-Design!$C$28)/(IF(ISBLANK(Design!$B$39),Design!$B$38,Design!$B$39)/1000000)*AI31/100/(IF(ISBLANK(Design!$B$32),Design!$B$31,Design!$B$32)*1000000)&lt;0,0,($B31-AG31*IF(ISBLANK(Design!$B$40),Constants!$C$6,Design!$B$40)/1000*(1+Constants!$C$31/100*(AR31-25))-Design!$C$28)/(IF(ISBLANK(Design!$B$39),Design!$B$38,Design!$B$39)/1000000)*AI31/100/(IF(ISBLANK(Design!$B$32),Design!$B$31,Design!$B$32)*1000000))</f>
        <v>0.39093350035825275</v>
      </c>
      <c r="AK31" s="240">
        <f>$B31*Constants!$C$18/1000+IF(ISBLANK(Design!$B$32),Design!$B$31,Design!$B$32)*1000000*Constants!$D$22/1000000000*($B31-Constants!$C$21)</f>
        <v>3.4045000000000013E-2</v>
      </c>
      <c r="AL31" s="240">
        <f>$B31*AG31*($B31/(Constants!$C$23*1000000000)*IF(ISBLANK(Design!$B$32),Design!$B$31,Design!$B$32)*1000000/2+$B31/(Constants!$C$24*1000000000)*IF(ISBLANK(Design!$B$32),Design!$B$31,Design!$B$32)*1000000/2)</f>
        <v>5.8966896381578968E-2</v>
      </c>
      <c r="AM31" s="240">
        <f t="shared" ca="1" si="3"/>
        <v>8.8236657120393025E-2</v>
      </c>
      <c r="AN31" s="240">
        <f>Constants!$D$22/1000000000*Constants!$C$21*IF(ISBLANK(Design!$B$32),Design!$B$31,Design!$B$32)*1000000</f>
        <v>4.9999999999999996E-2</v>
      </c>
      <c r="AO31" s="240">
        <f t="shared" ca="1" si="11"/>
        <v>0.23124855350197199</v>
      </c>
      <c r="AP31" s="240">
        <f t="shared" ca="1" si="9"/>
        <v>0.16982134140351798</v>
      </c>
      <c r="AQ31" s="241">
        <f ca="1">$A31+AP31*Design!$B$19</f>
        <v>94.679816460000524</v>
      </c>
      <c r="AR31" s="241">
        <f ca="1">AO31*Design!$C$12+$A31</f>
        <v>92.86245081906705</v>
      </c>
      <c r="AS31" s="241">
        <f ca="1">Constants!$D$19+Constants!$D$19*Constants!$C$20/100*(AR31-25)</f>
        <v>116.17989450460436</v>
      </c>
      <c r="AT31" s="240">
        <f ca="1">(1-Constants!$C$17/1000000000*Design!$B$32*1000000) * ($B31+AH31-AG31*AS31/1000) - (AH31+AG31*(1+($A31-25)*Constants!$C$31/100)*IF(ISBLANK(Design!$B$40),Constants!$C$6/1000,Design!$B$40/1000))</f>
        <v>5.4354763758102198</v>
      </c>
      <c r="AU31" s="162">
        <f ca="1">IF(AT31&gt;Design!$C$28,Design!$C$28,AT31)</f>
        <v>3.3239005736137672</v>
      </c>
    </row>
    <row r="32" spans="1:47" s="163" customFormat="1" ht="12.75" customHeight="1">
      <c r="A32" s="155">
        <f>Design!$D$13</f>
        <v>85</v>
      </c>
      <c r="B32" s="156">
        <f t="shared" si="0"/>
        <v>6.2600000000000007</v>
      </c>
      <c r="C32" s="157">
        <f>Design!$D$6</f>
        <v>3.5</v>
      </c>
      <c r="D32" s="157">
        <f ca="1">FORECAST(C32, OFFSET(Design!$C$15:$C$17,MATCH(C32,Design!$B$15:$B$17,1)-1,0,2), OFFSET(Design!$B$15:$B$17,MATCH(C32,Design!$B$15:$B$17,1)-1,0,2))+(M32-25)*Design!$B$18/1000</f>
        <v>0.40651461498032171</v>
      </c>
      <c r="E32" s="216">
        <f ca="1">IF(100*(Design!$C$28+D32+C32*IF(ISBLANK(Design!$B$40),Constants!$C$6,Design!$B$40)/1000*(1+Constants!$C$31/100*(N32-25)))/($B32+D32-C32*O32/1000)&gt;Design!$C$35,Design!$C$35,100*(Design!$C$28+D32+C32*IF(ISBLANK(Design!$B$40),Constants!$C$6,Design!$B$40)/1000*(1+Constants!$C$31/100*(N32-25)))/($B32+D32-C32*O32/1000))</f>
        <v>61.7934491386643</v>
      </c>
      <c r="F32" s="158">
        <f ca="1">IF(($B32-C32*IF(ISBLANK(Design!$B$40),Constants!$C$6,Design!$B$40)/1000*(1+Constants!$C$31/100*(N32-25))-Design!$C$28)/(IF(ISBLANK(Design!$B$39),Design!$B$38,Design!$B$39)/1000000)*E32/100/(IF(ISBLANK(Design!$B$32),Design!$B$31,Design!$B$32)*1000000)&lt;0, 0, ($B32-C32*IF(ISBLANK(Design!$B$40),Constants!$C$6,Design!$B$40)/1000*(1+Constants!$C$31/100*(N32-25))-Design!$C$28)/(IF(ISBLANK(Design!$B$39),Design!$B$38,Design!$B$39)/1000000)*E32/100/(IF(ISBLANK(Design!$B$32),Design!$B$31,Design!$B$32)*1000000))</f>
        <v>0.39853315924747745</v>
      </c>
      <c r="G32" s="208">
        <f>B32*Constants!$C$18/1000+IF(ISBLANK(Design!$B$32),Design!$B$31,Design!$B$32)*1000000*Constants!$D$22/1000000000*(B32-Constants!$C$21)</f>
        <v>3.1380000000000005E-2</v>
      </c>
      <c r="H32" s="208">
        <f>B32*C32*(B32/(Constants!$C$23*1000000000)*IF(ISBLANK(Design!$B$32),Design!$B$31,Design!$B$32)*1000000/2+B32/(Constants!$C$24*1000000000)*IF(ISBLANK(Design!$B$32),Design!$B$31,Design!$B$32)*1000000/2)</f>
        <v>0.16585979824561409</v>
      </c>
      <c r="I32" s="208">
        <f t="shared" ca="1" si="1"/>
        <v>1.0185788280890191</v>
      </c>
      <c r="J32" s="208">
        <f>Constants!$D$22/1000000000*Constants!$C$21*IF(ISBLANK(Design!$B$32),Design!$B$31,Design!$B$32)*1000000</f>
        <v>4.9999999999999996E-2</v>
      </c>
      <c r="K32" s="208">
        <f t="shared" ca="1" si="4"/>
        <v>1.2658186263346332</v>
      </c>
      <c r="L32" s="208">
        <f t="shared" ca="1" si="5"/>
        <v>0.54360324595926857</v>
      </c>
      <c r="M32" s="209">
        <f ca="1">A32+L32*Design!$B$19</f>
        <v>115.9853850196783</v>
      </c>
      <c r="N32" s="209">
        <f ca="1">K32*Design!$C$12+A32</f>
        <v>128.03783329537754</v>
      </c>
      <c r="O32" s="209">
        <f ca="1">Constants!$D$19+Constants!$D$19*Constants!$C$20/100*(N32-25)</f>
        <v>134.41481278032373</v>
      </c>
      <c r="P32" s="208">
        <f ca="1">(1-Constants!$C$17/1000000000*Design!$B$32*1000000) * ($B32+D32-C32*O32/1000) - (D32+C32*(1+($A32-25)*Constants!$C$31/100)*IF(ISBLANK(Design!$B$40),Constants!$C$6/1000,Design!$B$40/1000))</f>
        <v>4.897553995136473</v>
      </c>
      <c r="Q32" s="214">
        <f ca="1">IF(P32&gt;Design!$C$28,Design!$C$28,P32)</f>
        <v>3.3239005736137672</v>
      </c>
      <c r="R32" s="224">
        <f>2*Design!$D$6/3</f>
        <v>2.3333333333333335</v>
      </c>
      <c r="S32" s="159">
        <f ca="1">FORECAST(R32, OFFSET(Design!$C$15:$C$17,MATCH(R32,Design!$B$15:$B$17,1)-1,0,2), OFFSET(Design!$B$15:$B$17,MATCH(R32,Design!$B$15:$B$17,1)-1,0,2))+(AB32-25)*Design!$B$18/1000</f>
        <v>0.3873662634460483</v>
      </c>
      <c r="T32" s="225">
        <f ca="1">IF(100*(Design!$C$28+S32+R32*IF(ISBLANK(Design!$B$40),Constants!$C$6,Design!$B$40)/1000*(1+Constants!$C$31/100*(AC32-25)))/($B32+S32-R32*AD32/1000)&gt;Design!$C$35,Design!$C$35,100*(Design!$C$28+S32+R32*IF(ISBLANK(Design!$B$40),Constants!$C$6,Design!$B$40)/1000*(1+Constants!$C$31/100*(AC32-25)))/($B32+S32-R32*AD32/1000))</f>
        <v>59.302820899471826</v>
      </c>
      <c r="U32" s="160">
        <f ca="1">IF(($B32-R32*IF(ISBLANK(Design!$B$40),Constants!$C$6,Design!$B$40)/1000*(1+Constants!$C$31/100*(AC32-25))-Design!$C$28)/(Design!$B$39/1000000)*T32/100/(IF(ISBLANK(IF(ISBLANK(Design!$B$39),Design!$B$38,Design!$B$39)),Design!$B$31,Design!$B$32)*1000000)&lt;0,0,($B32-R32*IF(ISBLANK(Design!$B$40),Constants!$C$6,Design!$B$40)/1000*(1+Constants!$C$31/100*(AC32-25))-Design!$C$28)/(IF(ISBLANK(Design!$B$39),Design!$B$38,Design!$B$39)/1000000)*T32/100/(IF(ISBLANK(Design!$B$32),Design!$B$31,Design!$B$32)*1000000))</f>
        <v>0.3874577311005038</v>
      </c>
      <c r="V32" s="226">
        <f>$B32*Constants!$C$18/1000+IF(ISBLANK(Design!$B$32),Design!$B$31,Design!$B$32)*1000000*Constants!$D$22/1000000000*($B32-Constants!$C$21)</f>
        <v>3.1380000000000005E-2</v>
      </c>
      <c r="W32" s="226">
        <f>$B32*R32*($B32/(Constants!$C$23*1000000000)*IF(ISBLANK(Design!$B$32),Design!$B$31,Design!$B$32)*1000000/2+$B32/(Constants!$C$24*1000000000)*IF(ISBLANK(Design!$B$32),Design!$B$31,Design!$B$32)*1000000/2)</f>
        <v>0.11057319883040939</v>
      </c>
      <c r="X32" s="226">
        <f t="shared" ca="1" si="2"/>
        <v>0.39633828483281075</v>
      </c>
      <c r="Y32" s="226">
        <f>Constants!$D$22/1000000000*Constants!$C$21*IF(ISBLANK(Design!$B$32),Design!$B$31,Design!$B$32)*1000000</f>
        <v>4.9999999999999996E-2</v>
      </c>
      <c r="Z32" s="226">
        <f t="shared" ca="1" si="10"/>
        <v>0.58829148366322026</v>
      </c>
      <c r="AA32" s="226">
        <f t="shared" ca="1" si="7"/>
        <v>0.36784333135587816</v>
      </c>
      <c r="AB32" s="227">
        <f ca="1">$A32+AA32*Design!$B$19</f>
        <v>105.96706988728505</v>
      </c>
      <c r="AC32" s="227">
        <f ca="1">Z32*Design!$C$12+$A32</f>
        <v>105.00191044454948</v>
      </c>
      <c r="AD32" s="227">
        <f ca="1">Constants!$D$19+Constants!$D$19*Constants!$C$20/100*(AC32-25)</f>
        <v>122.47299037445445</v>
      </c>
      <c r="AE32" s="226">
        <f ca="1">(1-Constants!$C$17/1000000000*Design!$B$32*1000000) * ($B32+S32-R32*AD32/1000) - (S32+R32*(1+($A32-25)*Constants!$C$31/100)*IF(ISBLANK(Design!$B$40),Constants!$C$6/1000,Design!$B$40/1000))</f>
        <v>5.089551548625205</v>
      </c>
      <c r="AF32" s="160">
        <f ca="1">IF(AE32&gt;Design!$C$28,Design!$C$28,AE32)</f>
        <v>3.3239005736137672</v>
      </c>
      <c r="AG32" s="161">
        <f>Design!$D$6/3</f>
        <v>1.1666666666666667</v>
      </c>
      <c r="AH32" s="161">
        <f ca="1">FORECAST(AG32, OFFSET(Design!$C$15:$C$17,MATCH(AG32,Design!$B$15:$B$17,1)-1,0,2), OFFSET(Design!$B$15:$B$17,MATCH(AG32,Design!$B$15:$B$17,1)-1,0,2))+(AQ32-25)*Design!$B$18/1000</f>
        <v>0.32587547344978496</v>
      </c>
      <c r="AI32" s="239">
        <f ca="1">IF(100*(Design!$C$28+AH32+AG32*IF(ISBLANK(Design!$B$40),Constants!$C$6,Design!$B$40)/1000*(1+Constants!$C$31/100*(AR32-25)))/($B32+AH32-AG32*AS32/1000)&gt;Design!$C$35,Design!$C$35,100*(Design!$C$28+AH32+AG32*IF(ISBLANK(Design!$B$40),Constants!$C$6,Design!$B$40)/1000*(1+Constants!$C$31/100*(AR32-25)))/($B32+AH32-AG32*AS32/1000))</f>
        <v>57.040134468554555</v>
      </c>
      <c r="AJ32" s="162">
        <f ca="1">IF(($B32-AG32*IF(ISBLANK(Design!$B$40),Constants!$C$6,Design!$B$40)/1000*(1+Constants!$C$31/100*(AR32-25))-Design!$C$28)/(IF(ISBLANK(Design!$B$39),Design!$B$38,Design!$B$39)/1000000)*AI32/100/(IF(ISBLANK(Design!$B$32),Design!$B$31,Design!$B$32)*1000000)&lt;0,0,($B32-AG32*IF(ISBLANK(Design!$B$40),Constants!$C$6,Design!$B$40)/1000*(1+Constants!$C$31/100*(AR32-25))-Design!$C$28)/(IF(ISBLANK(Design!$B$39),Design!$B$38,Design!$B$39)/1000000)*AI32/100/(IF(ISBLANK(Design!$B$32),Design!$B$31,Design!$B$32)*1000000))</f>
        <v>0.37679604200626304</v>
      </c>
      <c r="AK32" s="240">
        <f>$B32*Constants!$C$18/1000+IF(ISBLANK(Design!$B$32),Design!$B$31,Design!$B$32)*1000000*Constants!$D$22/1000000000*($B32-Constants!$C$21)</f>
        <v>3.1380000000000005E-2</v>
      </c>
      <c r="AL32" s="240">
        <f>$B32*AG32*($B32/(Constants!$C$23*1000000000)*IF(ISBLANK(Design!$B$32),Design!$B$31,Design!$B$32)*1000000/2+$B32/(Constants!$C$24*1000000000)*IF(ISBLANK(Design!$B$32),Design!$B$31,Design!$B$32)*1000000/2)</f>
        <v>5.5286599415204696E-2</v>
      </c>
      <c r="AM32" s="240">
        <f t="shared" ca="1" si="3"/>
        <v>9.0933387935070026E-2</v>
      </c>
      <c r="AN32" s="240">
        <f>Constants!$D$22/1000000000*Constants!$C$21*IF(ISBLANK(Design!$B$32),Design!$B$31,Design!$B$32)*1000000</f>
        <v>4.9999999999999996E-2</v>
      </c>
      <c r="AO32" s="240">
        <f t="shared" ca="1" si="11"/>
        <v>0.2275999873502747</v>
      </c>
      <c r="AP32" s="240">
        <f t="shared" ca="1" si="9"/>
        <v>0.16332827605965361</v>
      </c>
      <c r="AQ32" s="241">
        <f ca="1">$A32+AP32*Design!$B$19</f>
        <v>94.309711735400256</v>
      </c>
      <c r="AR32" s="241">
        <f ca="1">AO32*Design!$C$12+$A32</f>
        <v>92.738399569909333</v>
      </c>
      <c r="AS32" s="241">
        <f ca="1">Constants!$D$19+Constants!$D$19*Constants!$C$20/100*(AR32-25)</f>
        <v>116.11558633704101</v>
      </c>
      <c r="AT32" s="240">
        <f ca="1">(1-Constants!$C$17/1000000000*Design!$B$32*1000000) * ($B32+AH32-AG32*AS32/1000) - (AH32+AG32*(1+($A32-25)*Constants!$C$31/100)*IF(ISBLANK(Design!$B$40),Constants!$C$6/1000,Design!$B$40/1000))</f>
        <v>5.2571435349860982</v>
      </c>
      <c r="AU32" s="162">
        <f ca="1">IF(AT32&gt;Design!$C$28,Design!$C$28,AT32)</f>
        <v>3.3239005736137672</v>
      </c>
    </row>
    <row r="33" spans="1:47" s="163" customFormat="1" ht="12.75" customHeight="1">
      <c r="A33" s="155">
        <f>Design!$D$13</f>
        <v>85</v>
      </c>
      <c r="B33" s="156">
        <f t="shared" si="0"/>
        <v>6.0550000000000006</v>
      </c>
      <c r="C33" s="157">
        <f>Design!$D$6</f>
        <v>3.5</v>
      </c>
      <c r="D33" s="157">
        <f ca="1">FORECAST(C33, OFFSET(Design!$C$15:$C$17,MATCH(C33,Design!$B$15:$B$17,1)-1,0,2), OFFSET(Design!$B$15:$B$17,MATCH(C33,Design!$B$15:$B$17,1)-1,0,2))+(M33-25)*Design!$B$18/1000</f>
        <v>0.40813738028806046</v>
      </c>
      <c r="E33" s="216">
        <f ca="1">IF(100*(Design!$C$28+D33+C33*IF(ISBLANK(Design!$B$40),Constants!$C$6,Design!$B$40)/1000*(1+Constants!$C$31/100*(N33-25)))/($B33+D33-C33*O33/1000)&gt;Design!$C$35,Design!$C$35,100*(Design!$C$28+D33+C33*IF(ISBLANK(Design!$B$40),Constants!$C$6,Design!$B$40)/1000*(1+Constants!$C$31/100*(N33-25)))/($B33+D33-C33*O33/1000))</f>
        <v>63.938355491038898</v>
      </c>
      <c r="F33" s="158">
        <f ca="1">IF(($B33-C33*IF(ISBLANK(Design!$B$40),Constants!$C$6,Design!$B$40)/1000*(1+Constants!$C$31/100*(N33-25))-Design!$C$28)/(IF(ISBLANK(Design!$B$39),Design!$B$38,Design!$B$39)/1000000)*E33/100/(IF(ISBLANK(Design!$B$32),Design!$B$31,Design!$B$32)*1000000)&lt;0, 0, ($B33-C33*IF(ISBLANK(Design!$B$40),Constants!$C$6,Design!$B$40)/1000*(1+Constants!$C$31/100*(N33-25))-Design!$C$28)/(IF(ISBLANK(Design!$B$39),Design!$B$38,Design!$B$39)/1000000)*E33/100/(IF(ISBLANK(Design!$B$32),Design!$B$31,Design!$B$32)*1000000))</f>
        <v>0.38254257899146066</v>
      </c>
      <c r="G33" s="208">
        <f>B33*Constants!$C$18/1000+IF(ISBLANK(Design!$B$32),Design!$B$31,Design!$B$32)*1000000*Constants!$D$22/1000000000*(B33-Constants!$C$21)</f>
        <v>2.8715000000000011E-2</v>
      </c>
      <c r="H33" s="208">
        <f>B33*C33*(B33/(Constants!$C$23*1000000000)*IF(ISBLANK(Design!$B$32),Design!$B$31,Design!$B$32)*1000000/2+B33/(Constants!$C$24*1000000000)*IF(ISBLANK(Design!$B$32),Design!$B$31,Design!$B$32)*1000000/2)</f>
        <v>0.15517464528508776</v>
      </c>
      <c r="I33" s="208">
        <f t="shared" ca="1" si="1"/>
        <v>1.0573593675832238</v>
      </c>
      <c r="J33" s="208">
        <f>Constants!$D$22/1000000000*Constants!$C$21*IF(ISBLANK(Design!$B$32),Design!$B$31,Design!$B$32)*1000000</f>
        <v>4.9999999999999996E-2</v>
      </c>
      <c r="K33" s="208">
        <f t="shared" ca="1" si="4"/>
        <v>1.2912490128683116</v>
      </c>
      <c r="L33" s="208">
        <f t="shared" ca="1" si="5"/>
        <v>0.51513367915683461</v>
      </c>
      <c r="M33" s="209">
        <f ca="1">A33+L33*Design!$B$19</f>
        <v>114.36261971193957</v>
      </c>
      <c r="N33" s="209">
        <f ca="1">K33*Design!$C$12+A33</f>
        <v>128.90246643752261</v>
      </c>
      <c r="O33" s="209">
        <f ca="1">Constants!$D$19+Constants!$D$19*Constants!$C$20/100*(N33-25)</f>
        <v>134.86303860121171</v>
      </c>
      <c r="P33" s="208">
        <f ca="1">(1-Constants!$C$17/1000000000*Design!$B$32*1000000) * ($B33+D33-C33*O33/1000) - (D33+C33*(1+($A33-25)*Constants!$C$31/100)*IF(ISBLANK(Design!$B$40),Constants!$C$6/1000,Design!$B$40/1000))</f>
        <v>4.7176281880218633</v>
      </c>
      <c r="Q33" s="214">
        <f ca="1">IF(P33&gt;Design!$C$28,Design!$C$28,P33)</f>
        <v>3.3239005736137672</v>
      </c>
      <c r="R33" s="224">
        <f>2*Design!$D$6/3</f>
        <v>2.3333333333333335</v>
      </c>
      <c r="S33" s="159">
        <f ca="1">FORECAST(R33, OFFSET(Design!$C$15:$C$17,MATCH(R33,Design!$B$15:$B$17,1)-1,0,2), OFFSET(Design!$B$15:$B$17,MATCH(R33,Design!$B$15:$B$17,1)-1,0,2))+(AB33-25)*Design!$B$18/1000</f>
        <v>0.38833766987099405</v>
      </c>
      <c r="T33" s="225">
        <f ca="1">IF(100*(Design!$C$28+S33+R33*IF(ISBLANK(Design!$B$40),Constants!$C$6,Design!$B$40)/1000*(1+Constants!$C$31/100*(AC33-25)))/($B33+S33-R33*AD33/1000)&gt;Design!$C$35,Design!$C$35,100*(Design!$C$28+S33+R33*IF(ISBLANK(Design!$B$40),Constants!$C$6,Design!$B$40)/1000*(1+Constants!$C$31/100*(AC33-25)))/($B33+S33-R33*AD33/1000))</f>
        <v>61.285410618741373</v>
      </c>
      <c r="U33" s="160">
        <f ca="1">IF(($B33-R33*IF(ISBLANK(Design!$B$40),Constants!$C$6,Design!$B$40)/1000*(1+Constants!$C$31/100*(AC33-25))-Design!$C$28)/(Design!$B$39/1000000)*T33/100/(IF(ISBLANK(IF(ISBLANK(Design!$B$39),Design!$B$38,Design!$B$39)),Design!$B$31,Design!$B$32)*1000000)&lt;0,0,($B33-R33*IF(ISBLANK(Design!$B$40),Constants!$C$6,Design!$B$40)/1000*(1+Constants!$C$31/100*(AC33-25))-Design!$C$28)/(IF(ISBLANK(Design!$B$39),Design!$B$38,Design!$B$39)/1000000)*T33/100/(IF(ISBLANK(Design!$B$32),Design!$B$31,Design!$B$32)*1000000))</f>
        <v>0.37185451648456452</v>
      </c>
      <c r="V33" s="226">
        <f>$B33*Constants!$C$18/1000+IF(ISBLANK(Design!$B$32),Design!$B$31,Design!$B$32)*1000000*Constants!$D$22/1000000000*($B33-Constants!$C$21)</f>
        <v>2.8715000000000011E-2</v>
      </c>
      <c r="W33" s="226">
        <f>$B33*R33*($B33/(Constants!$C$23*1000000000)*IF(ISBLANK(Design!$B$32),Design!$B$31,Design!$B$32)*1000000/2+$B33/(Constants!$C$24*1000000000)*IF(ISBLANK(Design!$B$32),Design!$B$31,Design!$B$32)*1000000/2)</f>
        <v>0.10344976352339183</v>
      </c>
      <c r="X33" s="226">
        <f t="shared" ca="1" si="2"/>
        <v>0.40972656940549523</v>
      </c>
      <c r="Y33" s="226">
        <f>Constants!$D$22/1000000000*Constants!$C$21*IF(ISBLANK(Design!$B$32),Design!$B$31,Design!$B$32)*1000000</f>
        <v>4.9999999999999996E-2</v>
      </c>
      <c r="Z33" s="226">
        <f t="shared" ca="1" si="10"/>
        <v>0.59189133292888707</v>
      </c>
      <c r="AA33" s="226">
        <f t="shared" ca="1" si="7"/>
        <v>0.35080111337437381</v>
      </c>
      <c r="AB33" s="227">
        <f ca="1">$A33+AA33*Design!$B$19</f>
        <v>104.99566346233931</v>
      </c>
      <c r="AC33" s="227">
        <f ca="1">Z33*Design!$C$12+$A33</f>
        <v>105.12430531958216</v>
      </c>
      <c r="AD33" s="227">
        <f ca="1">Constants!$D$19+Constants!$D$19*Constants!$C$20/100*(AC33-25)</f>
        <v>122.5364398776714</v>
      </c>
      <c r="AE33" s="226">
        <f ca="1">(1-Constants!$C$17/1000000000*Design!$B$32*1000000) * ($B33+S33-R33*AD33/1000) - (S33+R33*(1+($A33-25)*Constants!$C$31/100)*IF(ISBLANK(Design!$B$40),Constants!$C$6/1000,Design!$B$40/1000))</f>
        <v>4.9109464632984317</v>
      </c>
      <c r="AF33" s="160">
        <f ca="1">IF(AE33&gt;Design!$C$28,Design!$C$28,AE33)</f>
        <v>3.3239005736137672</v>
      </c>
      <c r="AG33" s="161">
        <f>Design!$D$6/3</f>
        <v>1.1666666666666667</v>
      </c>
      <c r="AH33" s="161">
        <f ca="1">FORECAST(AG33, OFFSET(Design!$C$15:$C$17,MATCH(AG33,Design!$B$15:$B$17,1)-1,0,2), OFFSET(Design!$B$15:$B$17,MATCH(AG33,Design!$B$15:$B$17,1)-1,0,2))+(AQ33-25)*Design!$B$18/1000</f>
        <v>0.32627079806758796</v>
      </c>
      <c r="AI33" s="239">
        <f ca="1">IF(100*(Design!$C$28+AH33+AG33*IF(ISBLANK(Design!$B$40),Constants!$C$6,Design!$B$40)/1000*(1+Constants!$C$31/100*(AR33-25)))/($B33+AH33-AG33*AS33/1000)&gt;Design!$C$35,Design!$C$35,100*(Design!$C$28+AH33+AG33*IF(ISBLANK(Design!$B$40),Constants!$C$6,Design!$B$40)/1000*(1+Constants!$C$31/100*(AR33-25)))/($B33+AH33-AG33*AS33/1000))</f>
        <v>58.914210253215046</v>
      </c>
      <c r="AJ33" s="162">
        <f ca="1">IF(($B33-AG33*IF(ISBLANK(Design!$B$40),Constants!$C$6,Design!$B$40)/1000*(1+Constants!$C$31/100*(AR33-25))-Design!$C$28)/(IF(ISBLANK(Design!$B$39),Design!$B$38,Design!$B$39)/1000000)*AI33/100/(IF(ISBLANK(Design!$B$32),Design!$B$31,Design!$B$32)*1000000)&lt;0,0,($B33-AG33*IF(ISBLANK(Design!$B$40),Constants!$C$6,Design!$B$40)/1000*(1+Constants!$C$31/100*(AR33-25))-Design!$C$28)/(IF(ISBLANK(Design!$B$39),Design!$B$38,Design!$B$39)/1000000)*AI33/100/(IF(ISBLANK(Design!$B$32),Design!$B$31,Design!$B$32)*1000000))</f>
        <v>0.36172855484507666</v>
      </c>
      <c r="AK33" s="240">
        <f>$B33*Constants!$C$18/1000+IF(ISBLANK(Design!$B$32),Design!$B$31,Design!$B$32)*1000000*Constants!$D$22/1000000000*($B33-Constants!$C$21)</f>
        <v>2.8715000000000011E-2</v>
      </c>
      <c r="AL33" s="240">
        <f>$B33*AG33*($B33/(Constants!$C$23*1000000000)*IF(ISBLANK(Design!$B$32),Design!$B$31,Design!$B$32)*1000000/2+$B33/(Constants!$C$24*1000000000)*IF(ISBLANK(Design!$B$32),Design!$B$31,Design!$B$32)*1000000/2)</f>
        <v>5.1724881761695915E-2</v>
      </c>
      <c r="AM33" s="240">
        <f t="shared" ca="1" si="3"/>
        <v>9.3809873131548857E-2</v>
      </c>
      <c r="AN33" s="240">
        <f>Constants!$D$22/1000000000*Constants!$C$21*IF(ISBLANK(Design!$B$32),Design!$B$31,Design!$B$32)*1000000</f>
        <v>4.9999999999999996E-2</v>
      </c>
      <c r="AO33" s="240">
        <f t="shared" ca="1" si="11"/>
        <v>0.22424975489324478</v>
      </c>
      <c r="AP33" s="240">
        <f t="shared" ca="1" si="9"/>
        <v>0.15639275644907424</v>
      </c>
      <c r="AQ33" s="241">
        <f ca="1">$A33+AP33*Design!$B$19</f>
        <v>93.914387117597229</v>
      </c>
      <c r="AR33" s="241">
        <f ca="1">AO33*Design!$C$12+$A33</f>
        <v>92.624491666370318</v>
      </c>
      <c r="AS33" s="241">
        <f ca="1">Constants!$D$19+Constants!$D$19*Constants!$C$20/100*(AR33-25)</f>
        <v>116.05653647984639</v>
      </c>
      <c r="AT33" s="240">
        <f ca="1">(1-Constants!$C$17/1000000000*Design!$B$32*1000000) * ($B33+AH33-AG33*AS33/1000) - (AH33+AG33*(1+($A33-25)*Constants!$C$31/100)*IF(ISBLANK(Design!$B$40),Constants!$C$6/1000,Design!$B$40/1000))</f>
        <v>5.0788020783908365</v>
      </c>
      <c r="AU33" s="162">
        <f ca="1">IF(AT33&gt;Design!$C$28,Design!$C$28,AT33)</f>
        <v>3.3239005736137672</v>
      </c>
    </row>
    <row r="34" spans="1:47" s="163" customFormat="1" ht="12.75" customHeight="1">
      <c r="A34" s="155">
        <f>Design!$D$13</f>
        <v>85</v>
      </c>
      <c r="B34" s="156">
        <f t="shared" si="0"/>
        <v>5.8500000000000005</v>
      </c>
      <c r="C34" s="157">
        <f>Design!$D$6</f>
        <v>3.5</v>
      </c>
      <c r="D34" s="157">
        <f ca="1">FORECAST(C34, OFFSET(Design!$C$15:$C$17,MATCH(C34,Design!$B$15:$B$17,1)-1,0,2), OFFSET(Design!$B$15:$B$17,MATCH(C34,Design!$B$15:$B$17,1)-1,0,2))+(M34-25)*Design!$B$18/1000</f>
        <v>0.40989258029448505</v>
      </c>
      <c r="E34" s="216">
        <f ca="1">IF(100*(Design!$C$28+D34+C34*IF(ISBLANK(Design!$B$40),Constants!$C$6,Design!$B$40)/1000*(1+Constants!$C$31/100*(N34-25)))/($B34+D34-C34*O34/1000)&gt;Design!$C$35,Design!$C$35,100*(Design!$C$28+D34+C34*IF(ISBLANK(Design!$B$40),Constants!$C$6,Design!$B$40)/1000*(1+Constants!$C$31/100*(N34-25)))/($B34+D34-C34*O34/1000))</f>
        <v>66.239189772946304</v>
      </c>
      <c r="F34" s="158">
        <f ca="1">IF(($B34-C34*IF(ISBLANK(Design!$B$40),Constants!$C$6,Design!$B$40)/1000*(1+Constants!$C$31/100*(N34-25))-Design!$C$28)/(IF(ISBLANK(Design!$B$39),Design!$B$38,Design!$B$39)/1000000)*E34/100/(IF(ISBLANK(Design!$B$32),Design!$B$31,Design!$B$32)*1000000)&lt;0, 0, ($B34-C34*IF(ISBLANK(Design!$B$40),Constants!$C$6,Design!$B$40)/1000*(1+Constants!$C$31/100*(N34-25))-Design!$C$28)/(IF(ISBLANK(Design!$B$39),Design!$B$38,Design!$B$39)/1000000)*E34/100/(IF(ISBLANK(Design!$B$32),Design!$B$31,Design!$B$32)*1000000))</f>
        <v>0.36540599135142449</v>
      </c>
      <c r="G34" s="208">
        <f>B34*Constants!$C$18/1000+IF(ISBLANK(Design!$B$32),Design!$B$31,Design!$B$32)*1000000*Constants!$D$22/1000000000*(B34-Constants!$C$21)</f>
        <v>2.6050000000000004E-2</v>
      </c>
      <c r="H34" s="208">
        <f>B34*C34*(B34/(Constants!$C$23*1000000000)*IF(ISBLANK(Design!$B$32),Design!$B$31,Design!$B$32)*1000000/2+B34/(Constants!$C$24*1000000000)*IF(ISBLANK(Design!$B$32),Design!$B$31,Design!$B$32)*1000000/2)</f>
        <v>0.14484523026315793</v>
      </c>
      <c r="I34" s="208">
        <f t="shared" ca="1" si="1"/>
        <v>1.0994830742147055</v>
      </c>
      <c r="J34" s="208">
        <f>Constants!$D$22/1000000000*Constants!$C$21*IF(ISBLANK(Design!$B$32),Design!$B$31,Design!$B$32)*1000000</f>
        <v>4.9999999999999996E-2</v>
      </c>
      <c r="K34" s="208">
        <f t="shared" ca="1" si="4"/>
        <v>1.3203783044778634</v>
      </c>
      <c r="L34" s="208">
        <f t="shared" ca="1" si="5"/>
        <v>0.48434069658798173</v>
      </c>
      <c r="M34" s="209">
        <f ca="1">A34+L34*Design!$B$19</f>
        <v>112.60741970551496</v>
      </c>
      <c r="N34" s="209">
        <f ca="1">K34*Design!$C$12+A34</f>
        <v>129.89286235224736</v>
      </c>
      <c r="O34" s="209">
        <f ca="1">Constants!$D$19+Constants!$D$19*Constants!$C$20/100*(N34-25)</f>
        <v>135.37645984340503</v>
      </c>
      <c r="P34" s="208">
        <f ca="1">(1-Constants!$C$17/1000000000*Design!$B$32*1000000) * ($B34+D34-C34*O34/1000) - (D34+C34*(1+($A34-25)*Constants!$C$31/100)*IF(ISBLANK(Design!$B$40),Constants!$C$6/1000,Design!$B$40/1000))</f>
        <v>4.5374866443385482</v>
      </c>
      <c r="Q34" s="214">
        <f ca="1">IF(P34&gt;Design!$C$28,Design!$C$28,P34)</f>
        <v>3.3239005736137672</v>
      </c>
      <c r="R34" s="224">
        <f>2*Design!$D$6/3</f>
        <v>2.3333333333333335</v>
      </c>
      <c r="S34" s="159">
        <f ca="1">FORECAST(R34, OFFSET(Design!$C$15:$C$17,MATCH(R34,Design!$B$15:$B$17,1)-1,0,2), OFFSET(Design!$B$15:$B$17,MATCH(R34,Design!$B$15:$B$17,1)-1,0,2))+(AB34-25)*Design!$B$18/1000</f>
        <v>0.3893816594071709</v>
      </c>
      <c r="T34" s="225">
        <f ca="1">IF(100*(Design!$C$28+S34+R34*IF(ISBLANK(Design!$B$40),Constants!$C$6,Design!$B$40)/1000*(1+Constants!$C$31/100*(AC34-25)))/($B34+S34-R34*AD34/1000)&gt;Design!$C$35,Design!$C$35,100*(Design!$C$28+S34+R34*IF(ISBLANK(Design!$B$40),Constants!$C$6,Design!$B$40)/1000*(1+Constants!$C$31/100*(AC34-25)))/($B34+S34-R34*AD34/1000))</f>
        <v>63.405110262393933</v>
      </c>
      <c r="U34" s="160">
        <f ca="1">IF(($B34-R34*IF(ISBLANK(Design!$B$40),Constants!$C$6,Design!$B$40)/1000*(1+Constants!$C$31/100*(AC34-25))-Design!$C$28)/(Design!$B$39/1000000)*T34/100/(IF(ISBLANK(IF(ISBLANK(Design!$B$39),Design!$B$38,Design!$B$39)),Design!$B$31,Design!$B$32)*1000000)&lt;0,0,($B34-R34*IF(ISBLANK(Design!$B$40),Constants!$C$6,Design!$B$40)/1000*(1+Constants!$C$31/100*(AC34-25))-Design!$C$28)/(IF(ISBLANK(Design!$B$39),Design!$B$38,Design!$B$39)/1000000)*T34/100/(IF(ISBLANK(Design!$B$32),Design!$B$31,Design!$B$32)*1000000))</f>
        <v>0.35517061386885357</v>
      </c>
      <c r="V34" s="226">
        <f>$B34*Constants!$C$18/1000+IF(ISBLANK(Design!$B$32),Design!$B$31,Design!$B$32)*1000000*Constants!$D$22/1000000000*($B34-Constants!$C$21)</f>
        <v>2.6050000000000004E-2</v>
      </c>
      <c r="W34" s="226">
        <f>$B34*R34*($B34/(Constants!$C$23*1000000000)*IF(ISBLANK(Design!$B$32),Design!$B$31,Design!$B$32)*1000000/2+$B34/(Constants!$C$24*1000000000)*IF(ISBLANK(Design!$B$32),Design!$B$31,Design!$B$32)*1000000/2)</f>
        <v>9.6563486842105306E-2</v>
      </c>
      <c r="X34" s="226">
        <f t="shared" ca="1" si="2"/>
        <v>0.42411422561767342</v>
      </c>
      <c r="Y34" s="226">
        <f>Constants!$D$22/1000000000*Constants!$C$21*IF(ISBLANK(Design!$B$32),Design!$B$31,Design!$B$32)*1000000</f>
        <v>4.9999999999999996E-2</v>
      </c>
      <c r="Z34" s="226">
        <f t="shared" ca="1" si="10"/>
        <v>0.59672771245977874</v>
      </c>
      <c r="AA34" s="226">
        <f t="shared" ca="1" si="7"/>
        <v>0.33248550747653494</v>
      </c>
      <c r="AB34" s="227">
        <f ca="1">$A34+AA34*Design!$B$19</f>
        <v>103.9516739261625</v>
      </c>
      <c r="AC34" s="227">
        <f ca="1">Z34*Design!$C$12+$A34</f>
        <v>105.28874222363248</v>
      </c>
      <c r="AD34" s="227">
        <f ca="1">Constants!$D$19+Constants!$D$19*Constants!$C$20/100*(AC34-25)</f>
        <v>122.62168396873108</v>
      </c>
      <c r="AE34" s="226">
        <f ca="1">(1-Constants!$C$17/1000000000*Design!$B$32*1000000) * ($B34+S34-R34*AD34/1000) - (S34+R34*(1+($A34-25)*Constants!$C$31/100)*IF(ISBLANK(Design!$B$40),Constants!$C$6/1000,Design!$B$40/1000))</f>
        <v>4.7322876991538774</v>
      </c>
      <c r="AF34" s="160">
        <f ca="1">IF(AE34&gt;Design!$C$28,Design!$C$28,AE34)</f>
        <v>3.3239005736137672</v>
      </c>
      <c r="AG34" s="161">
        <f>Design!$D$6/3</f>
        <v>1.1666666666666667</v>
      </c>
      <c r="AH34" s="161">
        <f ca="1">FORECAST(AG34, OFFSET(Design!$C$15:$C$17,MATCH(AG34,Design!$B$15:$B$17,1)-1,0,2), OFFSET(Design!$B$15:$B$17,MATCH(AG34,Design!$B$15:$B$17,1)-1,0,2))+(AQ34-25)*Design!$B$18/1000</f>
        <v>0.32669400666665693</v>
      </c>
      <c r="AI34" s="239">
        <f ca="1">IF(100*(Design!$C$28+AH34+AG34*IF(ISBLANK(Design!$B$40),Constants!$C$6,Design!$B$40)/1000*(1+Constants!$C$31/100*(AR34-25)))/($B34+AH34-AG34*AS34/1000)&gt;Design!$C$35,Design!$C$35,100*(Design!$C$28+AH34+AG34*IF(ISBLANK(Design!$B$40),Constants!$C$6,Design!$B$40)/1000*(1+Constants!$C$31/100*(AR34-25)))/($B34+AH34-AG34*AS34/1000))</f>
        <v>60.915446133130999</v>
      </c>
      <c r="AJ34" s="162">
        <f ca="1">IF(($B34-AG34*IF(ISBLANK(Design!$B$40),Constants!$C$6,Design!$B$40)/1000*(1+Constants!$C$31/100*(AR34-25))-Design!$C$28)/(IF(ISBLANK(Design!$B$39),Design!$B$38,Design!$B$39)/1000000)*AI34/100/(IF(ISBLANK(Design!$B$32),Design!$B$31,Design!$B$32)*1000000)&lt;0,0,($B34-AG34*IF(ISBLANK(Design!$B$40),Constants!$C$6,Design!$B$40)/1000*(1+Constants!$C$31/100*(AR34-25))-Design!$C$28)/(IF(ISBLANK(Design!$B$39),Design!$B$38,Design!$B$39)/1000000)*AI34/100/(IF(ISBLANK(Design!$B$32),Design!$B$31,Design!$B$32)*1000000))</f>
        <v>0.34563623277659555</v>
      </c>
      <c r="AK34" s="240">
        <f>$B34*Constants!$C$18/1000+IF(ISBLANK(Design!$B$32),Design!$B$31,Design!$B$32)*1000000*Constants!$D$22/1000000000*($B34-Constants!$C$21)</f>
        <v>2.6050000000000004E-2</v>
      </c>
      <c r="AL34" s="240">
        <f>$B34*AG34*($B34/(Constants!$C$23*1000000000)*IF(ISBLANK(Design!$B$32),Design!$B$31,Design!$B$32)*1000000/2+$B34/(Constants!$C$24*1000000000)*IF(ISBLANK(Design!$B$32),Design!$B$31,Design!$B$32)*1000000/2)</f>
        <v>4.8281743421052653E-2</v>
      </c>
      <c r="AM34" s="240">
        <f t="shared" ca="1" si="3"/>
        <v>9.6884753339449112E-2</v>
      </c>
      <c r="AN34" s="240">
        <f>Constants!$D$22/1000000000*Constants!$C$21*IF(ISBLANK(Design!$B$32),Design!$B$31,Design!$B$32)*1000000</f>
        <v>4.9999999999999996E-2</v>
      </c>
      <c r="AO34" s="240">
        <f t="shared" ca="1" si="11"/>
        <v>0.22121649676050176</v>
      </c>
      <c r="AP34" s="240">
        <f t="shared" ca="1" si="9"/>
        <v>0.14896804418470583</v>
      </c>
      <c r="AQ34" s="241">
        <f ca="1">$A34+AP34*Design!$B$19</f>
        <v>93.49117851852823</v>
      </c>
      <c r="AR34" s="241">
        <f ca="1">AO34*Design!$C$12+$A34</f>
        <v>92.521360889857064</v>
      </c>
      <c r="AS34" s="241">
        <f ca="1">Constants!$D$19+Constants!$D$19*Constants!$C$20/100*(AR34-25)</f>
        <v>116.00307348530191</v>
      </c>
      <c r="AT34" s="240">
        <f ca="1">(1-Constants!$C$17/1000000000*Design!$B$32*1000000) * ($B34+AH34-AG34*AS34/1000) - (AH34+AG34*(1+($A34-25)*Constants!$C$31/100)*IF(ISBLANK(Design!$B$40),Constants!$C$6/1000,Design!$B$40/1000))</f>
        <v>4.9004513262124201</v>
      </c>
      <c r="AU34" s="162">
        <f ca="1">IF(AT34&gt;Design!$C$28,Design!$C$28,AT34)</f>
        <v>3.3239005736137672</v>
      </c>
    </row>
    <row r="35" spans="1:47" s="163" customFormat="1" ht="12.75" customHeight="1">
      <c r="A35" s="155">
        <f>Design!$D$13</f>
        <v>85</v>
      </c>
      <c r="B35" s="156">
        <f t="shared" si="0"/>
        <v>5.6450000000000005</v>
      </c>
      <c r="C35" s="157">
        <f>Design!$D$6</f>
        <v>3.5</v>
      </c>
      <c r="D35" s="157">
        <f ca="1">FORECAST(C35, OFFSET(Design!$C$15:$C$17,MATCH(C35,Design!$B$15:$B$17,1)-1,0,2), OFFSET(Design!$B$15:$B$17,MATCH(C35,Design!$B$15:$B$17,1)-1,0,2))+(M35-25)*Design!$B$18/1000</f>
        <v>0.41179724821904795</v>
      </c>
      <c r="E35" s="216">
        <f ca="1">IF(100*(Design!$C$28+D35+C35*IF(ISBLANK(Design!$B$40),Constants!$C$6,Design!$B$40)/1000*(1+Constants!$C$31/100*(N35-25)))/($B35+D35-C35*O35/1000)&gt;Design!$C$35,Design!$C$35,100*(Design!$C$28+D35+C35*IF(ISBLANK(Design!$B$40),Constants!$C$6,Design!$B$40)/1000*(1+Constants!$C$31/100*(N35-25)))/($B35+D35-C35*O35/1000))</f>
        <v>68.713766523873502</v>
      </c>
      <c r="F35" s="158">
        <f ca="1">IF(($B35-C35*IF(ISBLANK(Design!$B$40),Constants!$C$6,Design!$B$40)/1000*(1+Constants!$C$31/100*(N35-25))-Design!$C$28)/(IF(ISBLANK(Design!$B$39),Design!$B$38,Design!$B$39)/1000000)*E35/100/(IF(ISBLANK(Design!$B$32),Design!$B$31,Design!$B$32)*1000000)&lt;0, 0, ($B35-C35*IF(ISBLANK(Design!$B$40),Constants!$C$6,Design!$B$40)/1000*(1+Constants!$C$31/100*(N35-25))-Design!$C$28)/(IF(ISBLANK(Design!$B$39),Design!$B$38,Design!$B$39)/1000000)*E35/100/(IF(ISBLANK(Design!$B$32),Design!$B$31,Design!$B$32)*1000000))</f>
        <v>0.3469939271422528</v>
      </c>
      <c r="G35" s="208">
        <f>B35*Constants!$C$18/1000+IF(ISBLANK(Design!$B$32),Design!$B$31,Design!$B$32)*1000000*Constants!$D$22/1000000000*(B35-Constants!$C$21)</f>
        <v>2.3385000000000006E-2</v>
      </c>
      <c r="H35" s="208">
        <f>B35*C35*(B35/(Constants!$C$23*1000000000)*IF(ISBLANK(Design!$B$32),Design!$B$31,Design!$B$32)*1000000/2+B35/(Constants!$C$24*1000000000)*IF(ISBLANK(Design!$B$32),Design!$B$31,Design!$B$32)*1000000/2)</f>
        <v>0.13487155317982458</v>
      </c>
      <c r="I35" s="208">
        <f t="shared" ca="1" si="1"/>
        <v>1.1453969288934613</v>
      </c>
      <c r="J35" s="208">
        <f>Constants!$D$22/1000000000*Constants!$C$21*IF(ISBLANK(Design!$B$32),Design!$B$31,Design!$B$32)*1000000</f>
        <v>4.9999999999999996E-2</v>
      </c>
      <c r="K35" s="208">
        <f t="shared" ca="1" si="4"/>
        <v>1.353653482073286</v>
      </c>
      <c r="L35" s="208">
        <f t="shared" ca="1" si="5"/>
        <v>0.45092546984126436</v>
      </c>
      <c r="M35" s="209">
        <f ca="1">A35+L35*Design!$B$19</f>
        <v>110.70275178095207</v>
      </c>
      <c r="N35" s="209">
        <f ca="1">K35*Design!$C$12+A35</f>
        <v>131.02421839049174</v>
      </c>
      <c r="O35" s="209">
        <f ca="1">Constants!$D$19+Constants!$D$19*Constants!$C$20/100*(N35-25)</f>
        <v>135.96295481363092</v>
      </c>
      <c r="P35" s="208">
        <f ca="1">(1-Constants!$C$17/1000000000*Design!$B$32*1000000) * ($B35+D35-C35*O35/1000) - (D35+C35*(1+($A35-25)*Constants!$C$31/100)*IF(ISBLANK(Design!$B$40),Constants!$C$6/1000,Design!$B$40/1000))</f>
        <v>4.3571031603240185</v>
      </c>
      <c r="Q35" s="214">
        <f ca="1">IF(P35&gt;Design!$C$28,Design!$C$28,P35)</f>
        <v>3.3239005736137672</v>
      </c>
      <c r="R35" s="224">
        <f>2*Design!$D$6/3</f>
        <v>2.3333333333333335</v>
      </c>
      <c r="S35" s="159">
        <f ca="1">FORECAST(R35, OFFSET(Design!$C$15:$C$17,MATCH(R35,Design!$B$15:$B$17,1)-1,0,2), OFFSET(Design!$B$15:$B$17,MATCH(R35,Design!$B$15:$B$17,1)-1,0,2))+(AB35-25)*Design!$B$18/1000</f>
        <v>0.3905066662167509</v>
      </c>
      <c r="T35" s="225">
        <f ca="1">IF(100*(Design!$C$28+S35+R35*IF(ISBLANK(Design!$B$40),Constants!$C$6,Design!$B$40)/1000*(1+Constants!$C$31/100*(AC35-25)))/($B35+S35-R35*AD35/1000)&gt;Design!$C$35,Design!$C$35,100*(Design!$C$28+S35+R35*IF(ISBLANK(Design!$B$40),Constants!$C$6,Design!$B$40)/1000*(1+Constants!$C$31/100*(AC35-25)))/($B35+S35-R35*AD35/1000))</f>
        <v>65.67661894208797</v>
      </c>
      <c r="U35" s="160">
        <f ca="1">IF(($B35-R35*IF(ISBLANK(Design!$B$40),Constants!$C$6,Design!$B$40)/1000*(1+Constants!$C$31/100*(AC35-25))-Design!$C$28)/(Design!$B$39/1000000)*T35/100/(IF(ISBLANK(IF(ISBLANK(Design!$B$39),Design!$B$38,Design!$B$39)),Design!$B$31,Design!$B$32)*1000000)&lt;0,0,($B35-R35*IF(ISBLANK(Design!$B$40),Constants!$C$6,Design!$B$40)/1000*(1+Constants!$C$31/100*(AC35-25))-Design!$C$28)/(IF(ISBLANK(Design!$B$39),Design!$B$38,Design!$B$39)/1000000)*T35/100/(IF(ISBLANK(Design!$B$32),Design!$B$31,Design!$B$32)*1000000))</f>
        <v>0.33728962368674159</v>
      </c>
      <c r="V35" s="226">
        <f>$B35*Constants!$C$18/1000+IF(ISBLANK(Design!$B$32),Design!$B$31,Design!$B$32)*1000000*Constants!$D$22/1000000000*($B35-Constants!$C$21)</f>
        <v>2.3385000000000006E-2</v>
      </c>
      <c r="W35" s="226">
        <f>$B35*R35*($B35/(Constants!$C$23*1000000000)*IF(ISBLANK(Design!$B$32),Design!$B$31,Design!$B$32)*1000000/2+$B35/(Constants!$C$24*1000000000)*IF(ISBLANK(Design!$B$32),Design!$B$31,Design!$B$32)*1000000/2)</f>
        <v>8.9914368786549723E-2</v>
      </c>
      <c r="X35" s="226">
        <f t="shared" ca="1" si="2"/>
        <v>0.43961579821749003</v>
      </c>
      <c r="Y35" s="226">
        <f>Constants!$D$22/1000000000*Constants!$C$21*IF(ISBLANK(Design!$B$32),Design!$B$31,Design!$B$32)*1000000</f>
        <v>4.9999999999999996E-2</v>
      </c>
      <c r="Z35" s="226">
        <f t="shared" ca="1" si="10"/>
        <v>0.6029151670040398</v>
      </c>
      <c r="AA35" s="226">
        <f t="shared" ca="1" si="7"/>
        <v>0.3127485459049561</v>
      </c>
      <c r="AB35" s="227">
        <f ca="1">$A35+AA35*Design!$B$19</f>
        <v>102.8266671165825</v>
      </c>
      <c r="AC35" s="227">
        <f ca="1">Z35*Design!$C$12+$A35</f>
        <v>105.49911567813736</v>
      </c>
      <c r="AD35" s="227">
        <f ca="1">Constants!$D$19+Constants!$D$19*Constants!$C$20/100*(AC35-25)</f>
        <v>122.7307415675464</v>
      </c>
      <c r="AE35" s="226">
        <f ca="1">(1-Constants!$C$17/1000000000*Design!$B$32*1000000) * ($B35+S35-R35*AD35/1000) - (S35+R35*(1+($A35-25)*Constants!$C$31/100)*IF(ISBLANK(Design!$B$40),Constants!$C$6/1000,Design!$B$40/1000))</f>
        <v>4.5535700613430361</v>
      </c>
      <c r="AF35" s="160">
        <f ca="1">IF(AE35&gt;Design!$C$28,Design!$C$28,AE35)</f>
        <v>3.3239005736137672</v>
      </c>
      <c r="AG35" s="161">
        <f>Design!$D$6/3</f>
        <v>1.1666666666666667</v>
      </c>
      <c r="AH35" s="161">
        <f ca="1">FORECAST(AG35, OFFSET(Design!$C$15:$C$17,MATCH(AG35,Design!$B$15:$B$17,1)-1,0,2), OFFSET(Design!$B$15:$B$17,MATCH(AG35,Design!$B$15:$B$17,1)-1,0,2))+(AQ35-25)*Design!$B$18/1000</f>
        <v>0.32714815154368715</v>
      </c>
      <c r="AI35" s="239">
        <f ca="1">IF(100*(Design!$C$28+AH35+AG35*IF(ISBLANK(Design!$B$40),Constants!$C$6,Design!$B$40)/1000*(1+Constants!$C$31/100*(AR35-25)))/($B35+AH35-AG35*AS35/1000)&gt;Design!$C$35,Design!$C$35,100*(Design!$C$28+AH35+AG35*IF(ISBLANK(Design!$B$40),Constants!$C$6,Design!$B$40)/1000*(1+Constants!$C$31/100*(AR35-25)))/($B35+AH35-AG35*AS35/1000))</f>
        <v>63.057211794090584</v>
      </c>
      <c r="AJ35" s="162">
        <f ca="1">IF(($B35-AG35*IF(ISBLANK(Design!$B$40),Constants!$C$6,Design!$B$40)/1000*(1+Constants!$C$31/100*(AR35-25))-Design!$C$28)/(IF(ISBLANK(Design!$B$39),Design!$B$38,Design!$B$39)/1000000)*AI35/100/(IF(ISBLANK(Design!$B$32),Design!$B$31,Design!$B$32)*1000000)&lt;0,0,($B35-AG35*IF(ISBLANK(Design!$B$40),Constants!$C$6,Design!$B$40)/1000*(1+Constants!$C$31/100*(AR35-25))-Design!$C$28)/(IF(ISBLANK(Design!$B$39),Design!$B$38,Design!$B$39)/1000000)*AI35/100/(IF(ISBLANK(Design!$B$32),Design!$B$31,Design!$B$32)*1000000))</f>
        <v>0.3284109570778409</v>
      </c>
      <c r="AK35" s="240">
        <f>$B35*Constants!$C$18/1000+IF(ISBLANK(Design!$B$32),Design!$B$31,Design!$B$32)*1000000*Constants!$D$22/1000000000*($B35-Constants!$C$21)</f>
        <v>2.3385000000000006E-2</v>
      </c>
      <c r="AL35" s="240">
        <f>$B35*AG35*($B35/(Constants!$C$23*1000000000)*IF(ISBLANK(Design!$B$32),Design!$B$31,Design!$B$32)*1000000/2+$B35/(Constants!$C$24*1000000000)*IF(ISBLANK(Design!$B$32),Design!$B$31,Design!$B$32)*1000000/2)</f>
        <v>4.4957184393274861E-2</v>
      </c>
      <c r="AM35" s="240">
        <f t="shared" ca="1" si="3"/>
        <v>0.10017937490438947</v>
      </c>
      <c r="AN35" s="240">
        <f>Constants!$D$22/1000000000*Constants!$C$21*IF(ISBLANK(Design!$B$32),Design!$B$31,Design!$B$32)*1000000</f>
        <v>4.9999999999999996E-2</v>
      </c>
      <c r="AO35" s="240">
        <f t="shared" ca="1" si="11"/>
        <v>0.21852155929766431</v>
      </c>
      <c r="AP35" s="240">
        <f t="shared" ca="1" si="9"/>
        <v>0.14100059020172057</v>
      </c>
      <c r="AQ35" s="241">
        <f ca="1">$A35+AP35*Design!$B$19</f>
        <v>93.03703364149807</v>
      </c>
      <c r="AR35" s="241">
        <f ca="1">AO35*Design!$C$12+$A35</f>
        <v>92.429733016120593</v>
      </c>
      <c r="AS35" s="241">
        <f ca="1">Constants!$D$19+Constants!$D$19*Constants!$C$20/100*(AR35-25)</f>
        <v>115.95557359555693</v>
      </c>
      <c r="AT35" s="240">
        <f ca="1">(1-Constants!$C$17/1000000000*Design!$B$32*1000000) * ($B35+AH35-AG35*AS35/1000) - (AH35+AG35*(1+($A35-25)*Constants!$C$31/100)*IF(ISBLANK(Design!$B$40),Constants!$C$6/1000,Design!$B$40/1000))</f>
        <v>4.7220904997664972</v>
      </c>
      <c r="AU35" s="162">
        <f ca="1">IF(AT35&gt;Design!$C$28,Design!$C$28,AT35)</f>
        <v>3.3239005736137672</v>
      </c>
    </row>
    <row r="36" spans="1:47" s="163" customFormat="1" ht="12.75" customHeight="1">
      <c r="A36" s="155">
        <f>Design!$D$13</f>
        <v>85</v>
      </c>
      <c r="B36" s="156">
        <f t="shared" si="0"/>
        <v>5.44</v>
      </c>
      <c r="C36" s="157">
        <f>Design!$D$6</f>
        <v>3.5</v>
      </c>
      <c r="D36" s="157">
        <f ca="1">FORECAST(C36, OFFSET(Design!$C$15:$C$17,MATCH(C36,Design!$B$15:$B$17,1)-1,0,2), OFFSET(Design!$B$15:$B$17,MATCH(C36,Design!$B$15:$B$17,1)-1,0,2))+(M36-25)*Design!$B$18/1000</f>
        <v>0.41387149800775958</v>
      </c>
      <c r="E36" s="216">
        <f ca="1">IF(100*(Design!$C$28+D36+C36*IF(ISBLANK(Design!$B$40),Constants!$C$6,Design!$B$40)/1000*(1+Constants!$C$31/100*(N36-25)))/($B36+D36-C36*O36/1000)&gt;Design!$C$35,Design!$C$35,100*(Design!$C$28+D36+C36*IF(ISBLANK(Design!$B$40),Constants!$C$6,Design!$B$40)/1000*(1+Constants!$C$31/100*(N36-25)))/($B36+D36-C36*O36/1000))</f>
        <v>71.382758405079869</v>
      </c>
      <c r="F36" s="158">
        <f ca="1">IF(($B36-C36*IF(ISBLANK(Design!$B$40),Constants!$C$6,Design!$B$40)/1000*(1+Constants!$C$31/100*(N36-25))-Design!$C$28)/(IF(ISBLANK(Design!$B$39),Design!$B$38,Design!$B$39)/1000000)*E36/100/(IF(ISBLANK(Design!$B$32),Design!$B$31,Design!$B$32)*1000000)&lt;0, 0, ($B36-C36*IF(ISBLANK(Design!$B$40),Constants!$C$6,Design!$B$40)/1000*(1+Constants!$C$31/100*(N36-25))-Design!$C$28)/(IF(ISBLANK(Design!$B$39),Design!$B$38,Design!$B$39)/1000000)*E36/100/(IF(ISBLANK(Design!$B$32),Design!$B$31,Design!$B$32)*1000000))</f>
        <v>0.32715645849178288</v>
      </c>
      <c r="G36" s="208">
        <f>B36*Constants!$C$18/1000+IF(ISBLANK(Design!$B$32),Design!$B$31,Design!$B$32)*1000000*Constants!$D$22/1000000000*(B36-Constants!$C$21)</f>
        <v>2.0720000000000006E-2</v>
      </c>
      <c r="H36" s="208">
        <f>B36*C36*(B36/(Constants!$C$23*1000000000)*IF(ISBLANK(Design!$B$32),Design!$B$31,Design!$B$32)*1000000/2+B36/(Constants!$C$24*1000000000)*IF(ISBLANK(Design!$B$32),Design!$B$31,Design!$B$32)*1000000/2)</f>
        <v>0.12525361403508775</v>
      </c>
      <c r="I36" s="208">
        <f t="shared" ca="1" si="1"/>
        <v>1.1956321237663698</v>
      </c>
      <c r="J36" s="208">
        <f>Constants!$D$22/1000000000*Constants!$C$21*IF(ISBLANK(Design!$B$32),Design!$B$31,Design!$B$32)*1000000</f>
        <v>4.9999999999999996E-2</v>
      </c>
      <c r="K36" s="208">
        <f t="shared" ca="1" si="4"/>
        <v>1.3916057378014577</v>
      </c>
      <c r="L36" s="208">
        <f t="shared" ca="1" si="5"/>
        <v>0.4145351226708846</v>
      </c>
      <c r="M36" s="209">
        <f ca="1">A36+L36*Design!$B$19</f>
        <v>108.62850199224042</v>
      </c>
      <c r="N36" s="209">
        <f ca="1">K36*Design!$C$12+A36</f>
        <v>132.31459508524955</v>
      </c>
      <c r="O36" s="209">
        <f ca="1">Constants!$D$19+Constants!$D$19*Constants!$C$20/100*(N36-25)</f>
        <v>136.63188609219338</v>
      </c>
      <c r="P36" s="208">
        <f ca="1">(1-Constants!$C$17/1000000000*Design!$B$32*1000000) * ($B36+D36-C36*O36/1000) - (D36+C36*(1+($A36-25)*Constants!$C$31/100)*IF(ISBLANK(Design!$B$40),Constants!$C$6/1000,Design!$B$40/1000))</f>
        <v>4.1764466121082631</v>
      </c>
      <c r="Q36" s="214">
        <f ca="1">IF(P36&gt;Design!$C$28,Design!$C$28,P36)</f>
        <v>3.3239005736137672</v>
      </c>
      <c r="R36" s="224">
        <f>2*Design!$D$6/3</f>
        <v>2.3333333333333335</v>
      </c>
      <c r="S36" s="159">
        <f ca="1">FORECAST(R36, OFFSET(Design!$C$15:$C$17,MATCH(R36,Design!$B$15:$B$17,1)-1,0,2), OFFSET(Design!$B$15:$B$17,MATCH(R36,Design!$B$15:$B$17,1)-1,0,2))+(AB36-25)*Design!$B$18/1000</f>
        <v>0.3917224811404868</v>
      </c>
      <c r="T36" s="225">
        <f ca="1">IF(100*(Design!$C$28+S36+R36*IF(ISBLANK(Design!$B$40),Constants!$C$6,Design!$B$40)/1000*(1+Constants!$C$31/100*(AC36-25)))/($B36+S36-R36*AD36/1000)&gt;Design!$C$35,Design!$C$35,100*(Design!$C$28+S36+R36*IF(ISBLANK(Design!$B$40),Constants!$C$6,Design!$B$40)/1000*(1+Constants!$C$31/100*(AC36-25)))/($B36+S36-R36*AD36/1000))</f>
        <v>68.116809342547555</v>
      </c>
      <c r="U36" s="160">
        <f ca="1">IF(($B36-R36*IF(ISBLANK(Design!$B$40),Constants!$C$6,Design!$B$40)/1000*(1+Constants!$C$31/100*(AC36-25))-Design!$C$28)/(Design!$B$39/1000000)*T36/100/(IF(ISBLANK(IF(ISBLANK(Design!$B$39),Design!$B$38,Design!$B$39)),Design!$B$31,Design!$B$32)*1000000)&lt;0,0,($B36-R36*IF(ISBLANK(Design!$B$40),Constants!$C$6,Design!$B$40)/1000*(1+Constants!$C$31/100*(AC36-25))-Design!$C$28)/(IF(ISBLANK(Design!$B$39),Design!$B$38,Design!$B$39)/1000000)*T36/100/(IF(ISBLANK(Design!$B$32),Design!$B$31,Design!$B$32)*1000000))</f>
        <v>0.3180778483405452</v>
      </c>
      <c r="V36" s="226">
        <f>$B36*Constants!$C$18/1000+IF(ISBLANK(Design!$B$32),Design!$B$31,Design!$B$32)*1000000*Constants!$D$22/1000000000*($B36-Constants!$C$21)</f>
        <v>2.0720000000000006E-2</v>
      </c>
      <c r="W36" s="226">
        <f>$B36*R36*($B36/(Constants!$C$23*1000000000)*IF(ISBLANK(Design!$B$32),Design!$B$31,Design!$B$32)*1000000/2+$B36/(Constants!$C$24*1000000000)*IF(ISBLANK(Design!$B$32),Design!$B$31,Design!$B$32)*1000000/2)</f>
        <v>8.3502409356725163E-2</v>
      </c>
      <c r="X36" s="226">
        <f t="shared" ca="1" si="2"/>
        <v>0.45636406295007526</v>
      </c>
      <c r="Y36" s="226">
        <f>Constants!$D$22/1000000000*Constants!$C$21*IF(ISBLANK(Design!$B$32),Design!$B$31,Design!$B$32)*1000000</f>
        <v>4.9999999999999996E-2</v>
      </c>
      <c r="Z36" s="226">
        <f t="shared" ca="1" si="10"/>
        <v>0.61058647230680041</v>
      </c>
      <c r="AA36" s="226">
        <f t="shared" ca="1" si="7"/>
        <v>0.29141845952362405</v>
      </c>
      <c r="AB36" s="227">
        <f ca="1">$A36+AA36*Design!$B$19</f>
        <v>101.61085219284658</v>
      </c>
      <c r="AC36" s="227">
        <f ca="1">Z36*Design!$C$12+$A36</f>
        <v>105.75994005843121</v>
      </c>
      <c r="AD36" s="227">
        <f ca="1">Constants!$D$19+Constants!$D$19*Constants!$C$20/100*(AC36-25)</f>
        <v>122.86595292629075</v>
      </c>
      <c r="AE36" s="226">
        <f ca="1">(1-Constants!$C$17/1000000000*Design!$B$32*1000000) * ($B36+S36-R36*AD36/1000) - (S36+R36*(1+($A36-25)*Constants!$C$31/100)*IF(ISBLANK(Design!$B$40),Constants!$C$6/1000,Design!$B$40/1000))</f>
        <v>4.3747875263446998</v>
      </c>
      <c r="AF36" s="160">
        <f ca="1">IF(AE36&gt;Design!$C$28,Design!$C$28,AE36)</f>
        <v>3.3239005736137672</v>
      </c>
      <c r="AG36" s="161">
        <f>Design!$D$6/3</f>
        <v>1.1666666666666667</v>
      </c>
      <c r="AH36" s="161">
        <f ca="1">FORECAST(AG36, OFFSET(Design!$C$15:$C$17,MATCH(AG36,Design!$B$15:$B$17,1)-1,0,2), OFFSET(Design!$B$15:$B$17,MATCH(AG36,Design!$B$15:$B$17,1)-1,0,2))+(AQ36-25)*Design!$B$18/1000</f>
        <v>0.32763674644426061</v>
      </c>
      <c r="AI36" s="239">
        <f ca="1">IF(100*(Design!$C$28+AH36+AG36*IF(ISBLANK(Design!$B$40),Constants!$C$6,Design!$B$40)/1000*(1+Constants!$C$31/100*(AR36-25)))/($B36+AH36-AG36*AS36/1000)&gt;Design!$C$35,Design!$C$35,100*(Design!$C$28+AH36+AG36*IF(ISBLANK(Design!$B$40),Constants!$C$6,Design!$B$40)/1000*(1+Constants!$C$31/100*(AR36-25)))/($B36+AH36-AG36*AS36/1000))</f>
        <v>65.354814977783377</v>
      </c>
      <c r="AJ36" s="162">
        <f ca="1">IF(($B36-AG36*IF(ISBLANK(Design!$B$40),Constants!$C$6,Design!$B$40)/1000*(1+Constants!$C$31/100*(AR36-25))-Design!$C$28)/(IF(ISBLANK(Design!$B$39),Design!$B$38,Design!$B$39)/1000000)*AI36/100/(IF(ISBLANK(Design!$B$32),Design!$B$31,Design!$B$32)*1000000)&lt;0,0,($B36-AG36*IF(ISBLANK(Design!$B$40),Constants!$C$6,Design!$B$40)/1000*(1+Constants!$C$31/100*(AR36-25))-Design!$C$28)/(IF(ISBLANK(Design!$B$39),Design!$B$38,Design!$B$39)/1000000)*AI36/100/(IF(ISBLANK(Design!$B$32),Design!$B$31,Design!$B$32)*1000000))</f>
        <v>0.3099288798536276</v>
      </c>
      <c r="AK36" s="240">
        <f>$B36*Constants!$C$18/1000+IF(ISBLANK(Design!$B$32),Design!$B$31,Design!$B$32)*1000000*Constants!$D$22/1000000000*($B36-Constants!$C$21)</f>
        <v>2.0720000000000006E-2</v>
      </c>
      <c r="AL36" s="240">
        <f>$B36*AG36*($B36/(Constants!$C$23*1000000000)*IF(ISBLANK(Design!$B$32),Design!$B$31,Design!$B$32)*1000000/2+$B36/(Constants!$C$24*1000000000)*IF(ISBLANK(Design!$B$32),Design!$B$31,Design!$B$32)*1000000/2)</f>
        <v>4.1751204678362581E-2</v>
      </c>
      <c r="AM36" s="240">
        <f t="shared" ca="1" si="3"/>
        <v>0.10371830617150832</v>
      </c>
      <c r="AN36" s="240">
        <f>Constants!$D$22/1000000000*Constants!$C$21*IF(ISBLANK(Design!$B$32),Design!$B$31,Design!$B$32)*1000000</f>
        <v>4.9999999999999996E-2</v>
      </c>
      <c r="AO36" s="240">
        <f t="shared" ca="1" si="11"/>
        <v>0.2161895108498709</v>
      </c>
      <c r="AP36" s="240">
        <f t="shared" ca="1" si="9"/>
        <v>0.13242874984078229</v>
      </c>
      <c r="AQ36" s="241">
        <f ca="1">$A36+AP36*Design!$B$19</f>
        <v>92.548438740924595</v>
      </c>
      <c r="AR36" s="241">
        <f ca="1">AO36*Design!$C$12+$A36</f>
        <v>92.350443368895611</v>
      </c>
      <c r="AS36" s="241">
        <f ca="1">Constants!$D$19+Constants!$D$19*Constants!$C$20/100*(AR36-25)</f>
        <v>115.91446984243549</v>
      </c>
      <c r="AT36" s="240">
        <f ca="1">(1-Constants!$C$17/1000000000*Design!$B$32*1000000) * ($B36+AH36-AG36*AS36/1000) - (AH36+AG36*(1+($A36-25)*Constants!$C$31/100)*IF(ISBLANK(Design!$B$40),Constants!$C$6/1000,Design!$B$40/1000))</f>
        <v>4.5437187027388406</v>
      </c>
      <c r="AU36" s="162">
        <f ca="1">IF(AT36&gt;Design!$C$28,Design!$C$28,AT36)</f>
        <v>3.3239005736137672</v>
      </c>
    </row>
    <row r="37" spans="1:47" s="163" customFormat="1" ht="12.75" customHeight="1">
      <c r="A37" s="155">
        <f>Design!$D$13</f>
        <v>85</v>
      </c>
      <c r="B37" s="156">
        <f t="shared" si="0"/>
        <v>5.2350000000000003</v>
      </c>
      <c r="C37" s="157">
        <f>Design!$D$6</f>
        <v>3.5</v>
      </c>
      <c r="D37" s="157">
        <f ca="1">FORECAST(C37, OFFSET(Design!$C$15:$C$17,MATCH(C37,Design!$B$15:$B$17,1)-1,0,2), OFFSET(Design!$B$15:$B$17,MATCH(C37,Design!$B$15:$B$17,1)-1,0,2))+(M37-25)*Design!$B$18/1000</f>
        <v>0.4161392618550272</v>
      </c>
      <c r="E37" s="216">
        <f ca="1">IF(100*(Design!$C$28+D37+C37*IF(ISBLANK(Design!$B$40),Constants!$C$6,Design!$B$40)/1000*(1+Constants!$C$31/100*(N37-25)))/($B37+D37-C37*O37/1000)&gt;Design!$C$35,Design!$C$35,100*(Design!$C$28+D37+C37*IF(ISBLANK(Design!$B$40),Constants!$C$6,Design!$B$40)/1000*(1+Constants!$C$31/100*(N37-25)))/($B37+D37-C37*O37/1000))</f>
        <v>74.270303486760525</v>
      </c>
      <c r="F37" s="158">
        <f ca="1">IF(($B37-C37*IF(ISBLANK(Design!$B$40),Constants!$C$6,Design!$B$40)/1000*(1+Constants!$C$31/100*(N37-25))-Design!$C$28)/(IF(ISBLANK(Design!$B$39),Design!$B$38,Design!$B$39)/1000000)*E37/100/(IF(ISBLANK(Design!$B$32),Design!$B$31,Design!$B$32)*1000000)&lt;0, 0, ($B37-C37*IF(ISBLANK(Design!$B$40),Constants!$C$6,Design!$B$40)/1000*(1+Constants!$C$31/100*(N37-25))-Design!$C$28)/(IF(ISBLANK(Design!$B$39),Design!$B$38,Design!$B$39)/1000000)*E37/100/(IF(ISBLANK(Design!$B$32),Design!$B$31,Design!$B$32)*1000000))</f>
        <v>0.30571893451227111</v>
      </c>
      <c r="G37" s="208">
        <f>B37*Constants!$C$18/1000+IF(ISBLANK(Design!$B$32),Design!$B$31,Design!$B$32)*1000000*Constants!$D$22/1000000000*(B37-Constants!$C$21)</f>
        <v>1.8055000000000002E-2</v>
      </c>
      <c r="H37" s="208">
        <f>B37*C37*(B37/(Constants!$C$23*1000000000)*IF(ISBLANK(Design!$B$32),Design!$B$31,Design!$B$32)*1000000/2+B37/(Constants!$C$24*1000000000)*IF(ISBLANK(Design!$B$32),Design!$B$31,Design!$B$32)*1000000/2)</f>
        <v>0.11599141282894739</v>
      </c>
      <c r="I37" s="208">
        <f t="shared" ca="1" si="1"/>
        <v>1.2508250934294896</v>
      </c>
      <c r="J37" s="208">
        <f>Constants!$D$22/1000000000*Constants!$C$21*IF(ISBLANK(Design!$B$32),Design!$B$31,Design!$B$32)*1000000</f>
        <v>4.9999999999999996E-2</v>
      </c>
      <c r="K37" s="208">
        <f t="shared" ca="1" si="4"/>
        <v>1.434871506258437</v>
      </c>
      <c r="L37" s="208">
        <f t="shared" ca="1" si="5"/>
        <v>0.37474979201706698</v>
      </c>
      <c r="M37" s="209">
        <f ca="1">A37+L37*Design!$B$19</f>
        <v>106.36073814497281</v>
      </c>
      <c r="N37" s="209">
        <f ca="1">K37*Design!$C$12+A37</f>
        <v>133.78563121278685</v>
      </c>
      <c r="O37" s="209">
        <f ca="1">Constants!$D$19+Constants!$D$19*Constants!$C$20/100*(N37-25)</f>
        <v>137.39447122070871</v>
      </c>
      <c r="P37" s="208">
        <f ca="1">(1-Constants!$C$17/1000000000*Design!$B$32*1000000) * ($B37+D37-C37*O37/1000) - (D37+C37*(1+($A37-25)*Constants!$C$31/100)*IF(ISBLANK(Design!$B$40),Constants!$C$6/1000,Design!$B$40/1000))</f>
        <v>3.9954797310917889</v>
      </c>
      <c r="Q37" s="214">
        <f ca="1">IF(P37&gt;Design!$C$28,Design!$C$28,P37)</f>
        <v>3.3239005736137672</v>
      </c>
      <c r="R37" s="224">
        <f>2*Design!$D$6/3</f>
        <v>2.3333333333333335</v>
      </c>
      <c r="S37" s="159">
        <f ca="1">FORECAST(R37, OFFSET(Design!$C$15:$C$17,MATCH(R37,Design!$B$15:$B$17,1)-1,0,2), OFFSET(Design!$B$15:$B$17,MATCH(R37,Design!$B$15:$B$17,1)-1,0,2))+(AB37-25)*Design!$B$18/1000</f>
        <v>0.39304053528794441</v>
      </c>
      <c r="T37" s="225">
        <f ca="1">IF(100*(Design!$C$28+S37+R37*IF(ISBLANK(Design!$B$40),Constants!$C$6,Design!$B$40)/1000*(1+Constants!$C$31/100*(AC37-25)))/($B37+S37-R37*AD37/1000)&gt;Design!$C$35,Design!$C$35,100*(Design!$C$28+S37+R37*IF(ISBLANK(Design!$B$40),Constants!$C$6,Design!$B$40)/1000*(1+Constants!$C$31/100*(AC37-25)))/($B37+S37-R37*AD37/1000))</f>
        <v>70.745143661567852</v>
      </c>
      <c r="U37" s="160">
        <f ca="1">IF(($B37-R37*IF(ISBLANK(Design!$B$40),Constants!$C$6,Design!$B$40)/1000*(1+Constants!$C$31/100*(AC37-25))-Design!$C$28)/(Design!$B$39/1000000)*T37/100/(IF(ISBLANK(IF(ISBLANK(Design!$B$39),Design!$B$38,Design!$B$39)),Design!$B$31,Design!$B$32)*1000000)&lt;0,0,($B37-R37*IF(ISBLANK(Design!$B$40),Constants!$C$6,Design!$B$40)/1000*(1+Constants!$C$31/100*(AC37-25))-Design!$C$28)/(IF(ISBLANK(Design!$B$39),Design!$B$38,Design!$B$39)/1000000)*T37/100/(IF(ISBLANK(Design!$B$32),Design!$B$31,Design!$B$32)*1000000))</f>
        <v>0.29738096306310857</v>
      </c>
      <c r="V37" s="226">
        <f>$B37*Constants!$C$18/1000+IF(ISBLANK(Design!$B$32),Design!$B$31,Design!$B$32)*1000000*Constants!$D$22/1000000000*($B37-Constants!$C$21)</f>
        <v>1.8055000000000002E-2</v>
      </c>
      <c r="W37" s="226">
        <f>$B37*R37*($B37/(Constants!$C$23*1000000000)*IF(ISBLANK(Design!$B$32),Design!$B$31,Design!$B$32)*1000000/2+$B37/(Constants!$C$24*1000000000)*IF(ISBLANK(Design!$B$32),Design!$B$31,Design!$B$32)*1000000/2)</f>
        <v>7.7327608552631599E-2</v>
      </c>
      <c r="X37" s="226">
        <f t="shared" ca="1" si="2"/>
        <v>0.47451380951107147</v>
      </c>
      <c r="Y37" s="226">
        <f>Constants!$D$22/1000000000*Constants!$C$21*IF(ISBLANK(Design!$B$32),Design!$B$31,Design!$B$32)*1000000</f>
        <v>4.9999999999999996E-2</v>
      </c>
      <c r="Z37" s="226">
        <f t="shared" ca="1" si="10"/>
        <v>0.6198964180637031</v>
      </c>
      <c r="AA37" s="226">
        <f t="shared" ca="1" si="7"/>
        <v>0.26829470255068333</v>
      </c>
      <c r="AB37" s="227">
        <f ca="1">$A37+AA37*Design!$B$19</f>
        <v>100.29279804538895</v>
      </c>
      <c r="AC37" s="227">
        <f ca="1">Z37*Design!$C$12+$A37</f>
        <v>106.0764782141659</v>
      </c>
      <c r="AD37" s="227">
        <f ca="1">Constants!$D$19+Constants!$D$19*Constants!$C$20/100*(AC37-25)</f>
        <v>123.03004630622361</v>
      </c>
      <c r="AE37" s="226">
        <f ca="1">(1-Constants!$C$17/1000000000*Design!$B$32*1000000) * ($B37+S37-R37*AD37/1000) - (S37+R37*(1+($A37-25)*Constants!$C$31/100)*IF(ISBLANK(Design!$B$40),Constants!$C$6/1000,Design!$B$40/1000))</f>
        <v>4.1959330697442665</v>
      </c>
      <c r="AF37" s="160">
        <f ca="1">IF(AE37&gt;Design!$C$28,Design!$C$28,AE37)</f>
        <v>3.3239005736137672</v>
      </c>
      <c r="AG37" s="161">
        <f>Design!$D$6/3</f>
        <v>1.1666666666666667</v>
      </c>
      <c r="AH37" s="161">
        <f ca="1">FORECAST(AG37, OFFSET(Design!$C$15:$C$17,MATCH(AG37,Design!$B$15:$B$17,1)-1,0,2), OFFSET(Design!$B$15:$B$17,MATCH(AG37,Design!$B$15:$B$17,1)-1,0,2))+(AQ37-25)*Design!$B$18/1000</f>
        <v>0.32816385699766559</v>
      </c>
      <c r="AI37" s="239">
        <f ca="1">IF(100*(Design!$C$28+AH37+AG37*IF(ISBLANK(Design!$B$40),Constants!$C$6,Design!$B$40)/1000*(1+Constants!$C$31/100*(AR37-25)))/($B37+AH37-AG37*AS37/1000)&gt;Design!$C$35,Design!$C$35,100*(Design!$C$28+AH37+AG37*IF(ISBLANK(Design!$B$40),Constants!$C$6,Design!$B$40)/1000*(1+Constants!$C$31/100*(AR37-25)))/($B37+AH37-AG37*AS37/1000))</f>
        <v>67.825864955066294</v>
      </c>
      <c r="AJ37" s="162">
        <f ca="1">IF(($B37-AG37*IF(ISBLANK(Design!$B$40),Constants!$C$6,Design!$B$40)/1000*(1+Constants!$C$31/100*(AR37-25))-Design!$C$28)/(IF(ISBLANK(Design!$B$39),Design!$B$38,Design!$B$39)/1000000)*AI37/100/(IF(ISBLANK(Design!$B$32),Design!$B$31,Design!$B$32)*1000000)&lt;0,0,($B37-AG37*IF(ISBLANK(Design!$B$40),Constants!$C$6,Design!$B$40)/1000*(1+Constants!$C$31/100*(AR37-25))-Design!$C$28)/(IF(ISBLANK(Design!$B$39),Design!$B$38,Design!$B$39)/1000000)*AI37/100/(IF(ISBLANK(Design!$B$32),Design!$B$31,Design!$B$32)*1000000))</f>
        <v>0.29004746257878583</v>
      </c>
      <c r="AK37" s="240">
        <f>$B37*Constants!$C$18/1000+IF(ISBLANK(Design!$B$32),Design!$B$31,Design!$B$32)*1000000*Constants!$D$22/1000000000*($B37-Constants!$C$21)</f>
        <v>1.8055000000000002E-2</v>
      </c>
      <c r="AL37" s="240">
        <f>$B37*AG37*($B37/(Constants!$C$23*1000000000)*IF(ISBLANK(Design!$B$32),Design!$B$31,Design!$B$32)*1000000/2+$B37/(Constants!$C$24*1000000000)*IF(ISBLANK(Design!$B$32),Design!$B$31,Design!$B$32)*1000000/2)</f>
        <v>3.86638042763158E-2</v>
      </c>
      <c r="AM37" s="240">
        <f t="shared" ca="1" si="3"/>
        <v>0.10752997825104306</v>
      </c>
      <c r="AN37" s="240">
        <f>Constants!$D$22/1000000000*Constants!$C$21*IF(ISBLANK(Design!$B$32),Design!$B$31,Design!$B$32)*1000000</f>
        <v>4.9999999999999996E-2</v>
      </c>
      <c r="AO37" s="240">
        <f t="shared" ca="1" si="11"/>
        <v>0.21424878252735885</v>
      </c>
      <c r="AP37" s="240">
        <f t="shared" ca="1" si="9"/>
        <v>0.12318119627227407</v>
      </c>
      <c r="AQ37" s="241">
        <f ca="1">$A37+AP37*Design!$B$19</f>
        <v>92.021328187519629</v>
      </c>
      <c r="AR37" s="241">
        <f ca="1">AO37*Design!$C$12+$A37</f>
        <v>92.284458605930197</v>
      </c>
      <c r="AS37" s="241">
        <f ca="1">Constants!$D$19+Constants!$D$19*Constants!$C$20/100*(AR37-25)</f>
        <v>115.88026334131422</v>
      </c>
      <c r="AT37" s="240">
        <f ca="1">(1-Constants!$C$17/1000000000*Design!$B$32*1000000) * ($B37+AH37-AG37*AS37/1000) - (AH37+AG37*(1+($A37-25)*Constants!$C$31/100)*IF(ISBLANK(Design!$B$40),Constants!$C$6/1000,Design!$B$40/1000))</f>
        <v>4.3653348979655364</v>
      </c>
      <c r="AU37" s="162">
        <f ca="1">IF(AT37&gt;Design!$C$28,Design!$C$28,AT37)</f>
        <v>3.3239005736137672</v>
      </c>
    </row>
    <row r="38" spans="1:47" s="163" customFormat="1" ht="12.75" customHeight="1">
      <c r="A38" s="155">
        <f>Design!$D$13</f>
        <v>85</v>
      </c>
      <c r="B38" s="156">
        <f t="shared" si="0"/>
        <v>5.03</v>
      </c>
      <c r="C38" s="157">
        <f>Design!$D$6</f>
        <v>3.5</v>
      </c>
      <c r="D38" s="157">
        <f ca="1">FORECAST(C38, OFFSET(Design!$C$15:$C$17,MATCH(C38,Design!$B$15:$B$17,1)-1,0,2), OFFSET(Design!$B$15:$B$17,MATCH(C38,Design!$B$15:$B$17,1)-1,0,2))+(M38-25)*Design!$B$18/1000</f>
        <v>0.4186292530915201</v>
      </c>
      <c r="E38" s="216">
        <f ca="1">IF(100*(Design!$C$28+D38+C38*IF(ISBLANK(Design!$B$40),Constants!$C$6,Design!$B$40)/1000*(1+Constants!$C$31/100*(N38-25)))/($B38+D38-C38*O38/1000)&gt;Design!$C$35,Design!$C$35,100*(Design!$C$28+D38+C38*IF(ISBLANK(Design!$B$40),Constants!$C$6,Design!$B$40)/1000*(1+Constants!$C$31/100*(N38-25)))/($B38+D38-C38*O38/1000))</f>
        <v>77.404777767193153</v>
      </c>
      <c r="F38" s="158">
        <f ca="1">IF(($B38-C38*IF(ISBLANK(Design!$B$40),Constants!$C$6,Design!$B$40)/1000*(1+Constants!$C$31/100*(N38-25))-Design!$C$28)/(IF(ISBLANK(Design!$B$39),Design!$B$38,Design!$B$39)/1000000)*E38/100/(IF(ISBLANK(Design!$B$32),Design!$B$31,Design!$B$32)*1000000)&lt;0, 0, ($B38-C38*IF(ISBLANK(Design!$B$40),Constants!$C$6,Design!$B$40)/1000*(1+Constants!$C$31/100*(N38-25))-Design!$C$28)/(IF(ISBLANK(Design!$B$39),Design!$B$38,Design!$B$39)/1000000)*E38/100/(IF(ISBLANK(Design!$B$32),Design!$B$31,Design!$B$32)*1000000))</f>
        <v>0.28247658410703247</v>
      </c>
      <c r="G38" s="208">
        <f>B38*Constants!$C$18/1000+IF(ISBLANK(Design!$B$32),Design!$B$31,Design!$B$32)*1000000*Constants!$D$22/1000000000*(B38-Constants!$C$21)</f>
        <v>1.5390000000000001E-2</v>
      </c>
      <c r="H38" s="208">
        <f>B38*C38*(B38/(Constants!$C$23*1000000000)*IF(ISBLANK(Design!$B$32),Design!$B$31,Design!$B$32)*1000000/2+B38/(Constants!$C$24*1000000000)*IF(ISBLANK(Design!$B$32),Design!$B$31,Design!$B$32)*1000000/2)</f>
        <v>0.10708494956140352</v>
      </c>
      <c r="I38" s="208">
        <f t="shared" ca="1" si="1"/>
        <v>1.311745256288271</v>
      </c>
      <c r="J38" s="208">
        <f>Constants!$D$22/1000000000*Constants!$C$21*IF(ISBLANK(Design!$B$32),Design!$B$31,Design!$B$32)*1000000</f>
        <v>4.9999999999999996E-2</v>
      </c>
      <c r="K38" s="208">
        <f t="shared" ca="1" si="4"/>
        <v>1.4842202058496745</v>
      </c>
      <c r="L38" s="208">
        <f t="shared" ca="1" si="5"/>
        <v>0.3310657352364893</v>
      </c>
      <c r="M38" s="209">
        <f ca="1">A38+L38*Design!$B$19</f>
        <v>103.87074690847989</v>
      </c>
      <c r="N38" s="209">
        <f ca="1">K38*Design!$C$12+A38</f>
        <v>135.46348699888892</v>
      </c>
      <c r="O38" s="209">
        <f ca="1">Constants!$D$19+Constants!$D$19*Constants!$C$20/100*(N38-25)</f>
        <v>138.26427166022404</v>
      </c>
      <c r="P38" s="208">
        <f ca="1">(1-Constants!$C$17/1000000000*Design!$B$32*1000000) * ($B38+D38-C38*O38/1000) - (D38+C38*(1+($A38-25)*Constants!$C$31/100)*IF(ISBLANK(Design!$B$40),Constants!$C$6/1000,Design!$B$40/1000))</f>
        <v>3.8141574898927209</v>
      </c>
      <c r="Q38" s="214">
        <f ca="1">IF(P38&gt;Design!$C$28,Design!$C$28,P38)</f>
        <v>3.3239005736137672</v>
      </c>
      <c r="R38" s="224">
        <f>2*Design!$D$6/3</f>
        <v>2.3333333333333335</v>
      </c>
      <c r="S38" s="159">
        <f ca="1">FORECAST(R38, OFFSET(Design!$C$15:$C$17,MATCH(R38,Design!$B$15:$B$17,1)-1,0,2), OFFSET(Design!$B$15:$B$17,MATCH(R38,Design!$B$15:$B$17,1)-1,0,2))+(AB38-25)*Design!$B$18/1000</f>
        <v>0.39447425768678968</v>
      </c>
      <c r="T38" s="225">
        <f ca="1">IF(100*(Design!$C$28+S38+R38*IF(ISBLANK(Design!$B$40),Constants!$C$6,Design!$B$40)/1000*(1+Constants!$C$31/100*(AC38-25)))/($B38+S38-R38*AD38/1000)&gt;Design!$C$35,Design!$C$35,100*(Design!$C$28+S38+R38*IF(ISBLANK(Design!$B$40),Constants!$C$6,Design!$B$40)/1000*(1+Constants!$C$31/100*(AC38-25)))/($B38+S38-R38*AD38/1000))</f>
        <v>73.584188509319816</v>
      </c>
      <c r="U38" s="160">
        <f ca="1">IF(($B38-R38*IF(ISBLANK(Design!$B$40),Constants!$C$6,Design!$B$40)/1000*(1+Constants!$C$31/100*(AC38-25))-Design!$C$28)/(Design!$B$39/1000000)*T38/100/(IF(ISBLANK(IF(ISBLANK(Design!$B$39),Design!$B$38,Design!$B$39)),Design!$B$31,Design!$B$32)*1000000)&lt;0,0,($B38-R38*IF(ISBLANK(Design!$B$40),Constants!$C$6,Design!$B$40)/1000*(1+Constants!$C$31/100*(AC38-25))-Design!$C$28)/(IF(ISBLANK(Design!$B$39),Design!$B$38,Design!$B$39)/1000000)*T38/100/(IF(ISBLANK(Design!$B$32),Design!$B$31,Design!$B$32)*1000000))</f>
        <v>0.27501988949471312</v>
      </c>
      <c r="V38" s="226">
        <f>$B38*Constants!$C$18/1000+IF(ISBLANK(Design!$B$32),Design!$B$31,Design!$B$32)*1000000*Constants!$D$22/1000000000*($B38-Constants!$C$21)</f>
        <v>1.5390000000000001E-2</v>
      </c>
      <c r="W38" s="226">
        <f>$B38*R38*($B38/(Constants!$C$23*1000000000)*IF(ISBLANK(Design!$B$32),Design!$B$31,Design!$B$32)*1000000/2+$B38/(Constants!$C$24*1000000000)*IF(ISBLANK(Design!$B$32),Design!$B$31,Design!$B$32)*1000000/2)</f>
        <v>7.1389966374269018E-2</v>
      </c>
      <c r="X38" s="226">
        <f t="shared" ca="1" si="2"/>
        <v>0.49424660848913182</v>
      </c>
      <c r="Y38" s="226">
        <f>Constants!$D$22/1000000000*Constants!$C$21*IF(ISBLANK(Design!$B$32),Design!$B$31,Design!$B$32)*1000000</f>
        <v>4.9999999999999996E-2</v>
      </c>
      <c r="Z38" s="226">
        <f t="shared" ca="1" si="10"/>
        <v>0.63102657486340086</v>
      </c>
      <c r="AA38" s="226">
        <f t="shared" ca="1" si="7"/>
        <v>0.24314167800953884</v>
      </c>
      <c r="AB38" s="227">
        <f ca="1">$A38+AA38*Design!$B$19</f>
        <v>98.859075646543715</v>
      </c>
      <c r="AC38" s="227">
        <f ca="1">Z38*Design!$C$12+$A38</f>
        <v>106.45490354535563</v>
      </c>
      <c r="AD38" s="227">
        <f ca="1">Constants!$D$19+Constants!$D$19*Constants!$C$20/100*(AC38-25)</f>
        <v>123.22622199791238</v>
      </c>
      <c r="AE38" s="226">
        <f ca="1">(1-Constants!$C$17/1000000000*Design!$B$32*1000000) * ($B38+S38-R38*AD38/1000) - (S38+R38*(1+($A38-25)*Constants!$C$31/100)*IF(ISBLANK(Design!$B$40),Constants!$C$6/1000,Design!$B$40/1000))</f>
        <v>4.0169984491782893</v>
      </c>
      <c r="AF38" s="160">
        <f ca="1">IF(AE38&gt;Design!$C$28,Design!$C$28,AE38)</f>
        <v>3.3239005736137672</v>
      </c>
      <c r="AG38" s="161">
        <f>Design!$D$6/3</f>
        <v>1.1666666666666667</v>
      </c>
      <c r="AH38" s="161">
        <f ca="1">FORECAST(AG38, OFFSET(Design!$C$15:$C$17,MATCH(AG38,Design!$B$15:$B$17,1)-1,0,2), OFFSET(Design!$B$15:$B$17,MATCH(AG38,Design!$B$15:$B$17,1)-1,0,2))+(AQ38-25)*Design!$B$18/1000</f>
        <v>0.32873421323625801</v>
      </c>
      <c r="AI38" s="239">
        <f ca="1">IF(100*(Design!$C$28+AH38+AG38*IF(ISBLANK(Design!$B$40),Constants!$C$6,Design!$B$40)/1000*(1+Constants!$C$31/100*(AR38-25)))/($B38+AH38-AG38*AS38/1000)&gt;Design!$C$35,Design!$C$35,100*(Design!$C$28+AH38+AG38*IF(ISBLANK(Design!$B$40),Constants!$C$6,Design!$B$40)/1000*(1+Constants!$C$31/100*(AR38-25)))/($B38+AH38-AG38*AS38/1000))</f>
        <v>70.490720749339587</v>
      </c>
      <c r="AJ38" s="162">
        <f ca="1">IF(($B38-AG38*IF(ISBLANK(Design!$B$40),Constants!$C$6,Design!$B$40)/1000*(1+Constants!$C$31/100*(AR38-25))-Design!$C$28)/(IF(ISBLANK(Design!$B$39),Design!$B$38,Design!$B$39)/1000000)*AI38/100/(IF(ISBLANK(Design!$B$32),Design!$B$31,Design!$B$32)*1000000)&lt;0,0,($B38-AG38*IF(ISBLANK(Design!$B$40),Constants!$C$6,Design!$B$40)/1000*(1+Constants!$C$31/100*(AR38-25))-Design!$C$28)/(IF(ISBLANK(Design!$B$39),Design!$B$38,Design!$B$39)/1000000)*AI38/100/(IF(ISBLANK(Design!$B$32),Design!$B$31,Design!$B$32)*1000000))</f>
        <v>0.26860182118509968</v>
      </c>
      <c r="AK38" s="240">
        <f>$B38*Constants!$C$18/1000+IF(ISBLANK(Design!$B$32),Design!$B$31,Design!$B$32)*1000000*Constants!$D$22/1000000000*($B38-Constants!$C$21)</f>
        <v>1.5390000000000001E-2</v>
      </c>
      <c r="AL38" s="240">
        <f>$B38*AG38*($B38/(Constants!$C$23*1000000000)*IF(ISBLANK(Design!$B$32),Design!$B$31,Design!$B$32)*1000000/2+$B38/(Constants!$C$24*1000000000)*IF(ISBLANK(Design!$B$32),Design!$B$31,Design!$B$32)*1000000/2)</f>
        <v>3.5694983187134509E-2</v>
      </c>
      <c r="AM38" s="240">
        <f t="shared" ca="1" si="3"/>
        <v>0.11164748716774313</v>
      </c>
      <c r="AN38" s="240">
        <f>Constants!$D$22/1000000000*Constants!$C$21*IF(ISBLANK(Design!$B$32),Design!$B$31,Design!$B$32)*1000000</f>
        <v>4.9999999999999996E-2</v>
      </c>
      <c r="AO38" s="240">
        <f t="shared" ca="1" si="11"/>
        <v>0.21273247035487763</v>
      </c>
      <c r="AP38" s="240">
        <f t="shared" ca="1" si="9"/>
        <v>0.113174946472407</v>
      </c>
      <c r="AQ38" s="241">
        <f ca="1">$A38+AP38*Design!$B$19</f>
        <v>91.450971948927204</v>
      </c>
      <c r="AR38" s="241">
        <f ca="1">AO38*Design!$C$12+$A38</f>
        <v>92.232903992065843</v>
      </c>
      <c r="AS38" s="241">
        <f ca="1">Constants!$D$19+Constants!$D$19*Constants!$C$20/100*(AR38-25)</f>
        <v>115.85353742948695</v>
      </c>
      <c r="AT38" s="240">
        <f ca="1">(1-Constants!$C$17/1000000000*Design!$B$32*1000000) * ($B38+AH38-AG38*AS38/1000) - (AH38+AG38*(1+($A38-25)*Constants!$C$31/100)*IF(ISBLANK(Design!$B$40),Constants!$C$6/1000,Design!$B$40/1000))</f>
        <v>4.1869378784550246</v>
      </c>
      <c r="AU38" s="162">
        <f ca="1">IF(AT38&gt;Design!$C$28,Design!$C$28,AT38)</f>
        <v>3.3239005736137672</v>
      </c>
    </row>
    <row r="39" spans="1:47" s="163" customFormat="1" ht="12.75" customHeight="1">
      <c r="A39" s="155">
        <f>Design!$D$13</f>
        <v>85</v>
      </c>
      <c r="B39" s="156">
        <f t="shared" si="0"/>
        <v>4.8250000000000002</v>
      </c>
      <c r="C39" s="157">
        <f>Design!$D$6</f>
        <v>3.5</v>
      </c>
      <c r="D39" s="157">
        <f ca="1">FORECAST(C39, OFFSET(Design!$C$15:$C$17,MATCH(C39,Design!$B$15:$B$17,1)-1,0,2), OFFSET(Design!$B$15:$B$17,MATCH(C39,Design!$B$15:$B$17,1)-1,0,2))+(M39-25)*Design!$B$18/1000</f>
        <v>0.42137624033081217</v>
      </c>
      <c r="E39" s="216">
        <f ca="1">IF(100*(Design!$C$28+D39+C39*IF(ISBLANK(Design!$B$40),Constants!$C$6,Design!$B$40)/1000*(1+Constants!$C$31/100*(N39-25)))/($B39+D39-C39*O39/1000)&gt;Design!$C$35,Design!$C$35,100*(Design!$C$28+D39+C39*IF(ISBLANK(Design!$B$40),Constants!$C$6,Design!$B$40)/1000*(1+Constants!$C$31/100*(N39-25)))/($B39+D39-C39*O39/1000))</f>
        <v>80.819789362430825</v>
      </c>
      <c r="F39" s="158">
        <f ca="1">IF(($B39-C39*IF(ISBLANK(Design!$B$40),Constants!$C$6,Design!$B$40)/1000*(1+Constants!$C$31/100*(N39-25))-Design!$C$28)/(IF(ISBLANK(Design!$B$39),Design!$B$38,Design!$B$39)/1000000)*E39/100/(IF(ISBLANK(Design!$B$32),Design!$B$31,Design!$B$32)*1000000)&lt;0, 0, ($B39-C39*IF(ISBLANK(Design!$B$40),Constants!$C$6,Design!$B$40)/1000*(1+Constants!$C$31/100*(N39-25))-Design!$C$28)/(IF(ISBLANK(Design!$B$39),Design!$B$38,Design!$B$39)/1000000)*E39/100/(IF(ISBLANK(Design!$B$32),Design!$B$31,Design!$B$32)*1000000))</f>
        <v>0.25718761000288665</v>
      </c>
      <c r="G39" s="208">
        <f>B39*Constants!$C$18/1000+IF(ISBLANK(Design!$B$32),Design!$B$31,Design!$B$32)*1000000*Constants!$D$22/1000000000*(B39-Constants!$C$21)</f>
        <v>1.2725000000000004E-2</v>
      </c>
      <c r="H39" s="208">
        <f>B39*C39*(B39/(Constants!$C$23*1000000000)*IF(ISBLANK(Design!$B$32),Design!$B$31,Design!$B$32)*1000000/2+B39/(Constants!$C$24*1000000000)*IF(ISBLANK(Design!$B$32),Design!$B$31,Design!$B$32)*1000000/2)</f>
        <v>9.8534224232456141E-2</v>
      </c>
      <c r="I39" s="208">
        <f t="shared" ca="1" si="1"/>
        <v>1.3793321367293476</v>
      </c>
      <c r="J39" s="208">
        <f>Constants!$D$22/1000000000*Constants!$C$21*IF(ISBLANK(Design!$B$32),Design!$B$31,Design!$B$32)*1000000</f>
        <v>4.9999999999999996E-2</v>
      </c>
      <c r="K39" s="208">
        <f t="shared" ca="1" si="4"/>
        <v>1.5405913609618038</v>
      </c>
      <c r="L39" s="208">
        <f t="shared" ca="1" si="5"/>
        <v>0.28287297665241817</v>
      </c>
      <c r="M39" s="209">
        <f ca="1">A39+L39*Design!$B$19</f>
        <v>101.12375966918783</v>
      </c>
      <c r="N39" s="209">
        <f ca="1">K39*Design!$C$12+A39</f>
        <v>137.38010627270134</v>
      </c>
      <c r="O39" s="209">
        <f ca="1">Constants!$D$19+Constants!$D$19*Constants!$C$20/100*(N39-25)</f>
        <v>139.25784709176838</v>
      </c>
      <c r="P39" s="208">
        <f ca="1">(1-Constants!$C$17/1000000000*Design!$B$32*1000000) * ($B39+D39-C39*O39/1000) - (D39+C39*(1+($A39-25)*Constants!$C$31/100)*IF(ISBLANK(Design!$B$40),Constants!$C$6/1000,Design!$B$40/1000))</f>
        <v>3.6324249443625605</v>
      </c>
      <c r="Q39" s="214">
        <f ca="1">IF(P39&gt;Design!$C$28,Design!$C$28,P39)</f>
        <v>3.3239005736137672</v>
      </c>
      <c r="R39" s="224">
        <f>2*Design!$D$6/3</f>
        <v>2.3333333333333335</v>
      </c>
      <c r="S39" s="159">
        <f ca="1">FORECAST(R39, OFFSET(Design!$C$15:$C$17,MATCH(R39,Design!$B$15:$B$17,1)-1,0,2), OFFSET(Design!$B$15:$B$17,MATCH(R39,Design!$B$15:$B$17,1)-1,0,2))+(AB39-25)*Design!$B$18/1000</f>
        <v>0.39603953051845242</v>
      </c>
      <c r="T39" s="225">
        <f ca="1">IF(100*(Design!$C$28+S39+R39*IF(ISBLANK(Design!$B$40),Constants!$C$6,Design!$B$40)/1000*(1+Constants!$C$31/100*(AC39-25)))/($B39+S39-R39*AD39/1000)&gt;Design!$C$35,Design!$C$35,100*(Design!$C$28+S39+R39*IF(ISBLANK(Design!$B$40),Constants!$C$6,Design!$B$40)/1000*(1+Constants!$C$31/100*(AC39-25)))/($B39+S39-R39*AD39/1000))</f>
        <v>76.660257245109293</v>
      </c>
      <c r="U39" s="160">
        <f ca="1">IF(($B39-R39*IF(ISBLANK(Design!$B$40),Constants!$C$6,Design!$B$40)/1000*(1+Constants!$C$31/100*(AC39-25))-Design!$C$28)/(Design!$B$39/1000000)*T39/100/(IF(ISBLANK(IF(ISBLANK(Design!$B$39),Design!$B$38,Design!$B$39)),Design!$B$31,Design!$B$32)*1000000)&lt;0,0,($B39-R39*IF(ISBLANK(Design!$B$40),Constants!$C$6,Design!$B$40)/1000*(1+Constants!$C$31/100*(AC39-25))-Design!$C$28)/(IF(ISBLANK(Design!$B$39),Design!$B$38,Design!$B$39)/1000000)*T39/100/(IF(ISBLANK(Design!$B$32),Design!$B$31,Design!$B$32)*1000000))</f>
        <v>0.25078564077949655</v>
      </c>
      <c r="V39" s="226">
        <f>$B39*Constants!$C$18/1000+IF(ISBLANK(Design!$B$32),Design!$B$31,Design!$B$32)*1000000*Constants!$D$22/1000000000*($B39-Constants!$C$21)</f>
        <v>1.2725000000000004E-2</v>
      </c>
      <c r="W39" s="226">
        <f>$B39*R39*($B39/(Constants!$C$23*1000000000)*IF(ISBLANK(Design!$B$32),Design!$B$31,Design!$B$32)*1000000/2+$B39/(Constants!$C$24*1000000000)*IF(ISBLANK(Design!$B$32),Design!$B$31,Design!$B$32)*1000000/2)</f>
        <v>6.5689482821637432E-2</v>
      </c>
      <c r="X39" s="226">
        <f t="shared" ca="1" si="2"/>
        <v>0.51577687474887601</v>
      </c>
      <c r="Y39" s="226">
        <f>Constants!$D$22/1000000000*Constants!$C$21*IF(ISBLANK(Design!$B$32),Design!$B$31,Design!$B$32)*1000000</f>
        <v>4.9999999999999996E-2</v>
      </c>
      <c r="Z39" s="226">
        <f t="shared" ca="1" si="10"/>
        <v>0.64419135757051349</v>
      </c>
      <c r="AA39" s="226">
        <f t="shared" ca="1" si="7"/>
        <v>0.21568075113826188</v>
      </c>
      <c r="AB39" s="227">
        <f ca="1">$A39+AA39*Design!$B$19</f>
        <v>97.293802814880934</v>
      </c>
      <c r="AC39" s="227">
        <f ca="1">Z39*Design!$C$12+$A39</f>
        <v>106.90250615739745</v>
      </c>
      <c r="AD39" s="227">
        <f ca="1">Constants!$D$19+Constants!$D$19*Constants!$C$20/100*(AC39-25)</f>
        <v>123.45825919199484</v>
      </c>
      <c r="AE39" s="226">
        <f ca="1">(1-Constants!$C$17/1000000000*Design!$B$32*1000000) * ($B39+S39-R39*AD39/1000) - (S39+R39*(1+($A39-25)*Constants!$C$31/100)*IF(ISBLANK(Design!$B$40),Constants!$C$6/1000,Design!$B$40/1000))</f>
        <v>3.8379739282061855</v>
      </c>
      <c r="AF39" s="160">
        <f ca="1">IF(AE39&gt;Design!$C$28,Design!$C$28,AE39)</f>
        <v>3.3239005736137672</v>
      </c>
      <c r="AG39" s="161">
        <f>Design!$D$6/3</f>
        <v>1.1666666666666667</v>
      </c>
      <c r="AH39" s="161">
        <f ca="1">FORECAST(AG39, OFFSET(Design!$C$15:$C$17,MATCH(AG39,Design!$B$15:$B$17,1)-1,0,2), OFFSET(Design!$B$15:$B$17,MATCH(AG39,Design!$B$15:$B$17,1)-1,0,2))+(AQ39-25)*Design!$B$18/1000</f>
        <v>0.32935335074181216</v>
      </c>
      <c r="AI39" s="239">
        <f ca="1">IF(100*(Design!$C$28+AH39+AG39*IF(ISBLANK(Design!$B$40),Constants!$C$6,Design!$B$40)/1000*(1+Constants!$C$31/100*(AR39-25)))/($B39+AH39-AG39*AS39/1000)&gt;Design!$C$35,Design!$C$35,100*(Design!$C$28+AH39+AG39*IF(ISBLANK(Design!$B$40),Constants!$C$6,Design!$B$40)/1000*(1+Constants!$C$31/100*(AR39-25)))/($B39+AH39-AG39*AS39/1000))</f>
        <v>73.37304801987267</v>
      </c>
      <c r="AJ39" s="162">
        <f ca="1">IF(($B39-AG39*IF(ISBLANK(Design!$B$40),Constants!$C$6,Design!$B$40)/1000*(1+Constants!$C$31/100*(AR39-25))-Design!$C$28)/(IF(ISBLANK(Design!$B$39),Design!$B$38,Design!$B$39)/1000000)*AI39/100/(IF(ISBLANK(Design!$B$32),Design!$B$31,Design!$B$32)*1000000)&lt;0,0,($B39-AG39*IF(ISBLANK(Design!$B$40),Constants!$C$6,Design!$B$40)/1000*(1+Constants!$C$31/100*(AR39-25))-Design!$C$28)/(IF(ISBLANK(Design!$B$39),Design!$B$38,Design!$B$39)/1000000)*AI39/100/(IF(ISBLANK(Design!$B$32),Design!$B$31,Design!$B$32)*1000000))</f>
        <v>0.24540018114263354</v>
      </c>
      <c r="AK39" s="240">
        <f>$B39*Constants!$C$18/1000+IF(ISBLANK(Design!$B$32),Design!$B$31,Design!$B$32)*1000000*Constants!$D$22/1000000000*($B39-Constants!$C$21)</f>
        <v>1.2725000000000004E-2</v>
      </c>
      <c r="AL39" s="240">
        <f>$B39*AG39*($B39/(Constants!$C$23*1000000000)*IF(ISBLANK(Design!$B$32),Design!$B$31,Design!$B$32)*1000000/2+$B39/(Constants!$C$24*1000000000)*IF(ISBLANK(Design!$B$32),Design!$B$31,Design!$B$32)*1000000/2)</f>
        <v>3.2844741410818716E-2</v>
      </c>
      <c r="AM39" s="240">
        <f t="shared" ca="1" si="3"/>
        <v>0.11610960747624008</v>
      </c>
      <c r="AN39" s="240">
        <f>Constants!$D$22/1000000000*Constants!$C$21*IF(ISBLANK(Design!$B$32),Design!$B$31,Design!$B$32)*1000000</f>
        <v>4.9999999999999996E-2</v>
      </c>
      <c r="AO39" s="240">
        <f t="shared" ca="1" si="11"/>
        <v>0.2116793488870588</v>
      </c>
      <c r="AP39" s="240">
        <f t="shared" ca="1" si="9"/>
        <v>0.10231288497145646</v>
      </c>
      <c r="AQ39" s="241">
        <f ca="1">$A39+AP39*Design!$B$19</f>
        <v>90.831834443373012</v>
      </c>
      <c r="AR39" s="241">
        <f ca="1">AO39*Design!$C$12+$A39</f>
        <v>92.197097862160007</v>
      </c>
      <c r="AS39" s="241">
        <f ca="1">Constants!$D$19+Constants!$D$19*Constants!$C$20/100*(AR39-25)</f>
        <v>115.83497553174375</v>
      </c>
      <c r="AT39" s="240">
        <f ca="1">(1-Constants!$C$17/1000000000*Design!$B$32*1000000) * ($B39+AH39-AG39*AS39/1000) - (AH39+AG39*(1+($A39-25)*Constants!$C$31/100)*IF(ISBLANK(Design!$B$40),Constants!$C$6/1000,Design!$B$40/1000))</f>
        <v>4.0085262309055114</v>
      </c>
      <c r="AU39" s="162">
        <f ca="1">IF(AT39&gt;Design!$C$28,Design!$C$28,AT39)</f>
        <v>3.3239005736137672</v>
      </c>
    </row>
    <row r="40" spans="1:47" s="163" customFormat="1" ht="12.75" customHeight="1">
      <c r="A40" s="155">
        <f>Design!$D$13</f>
        <v>85</v>
      </c>
      <c r="B40" s="156">
        <f t="shared" si="0"/>
        <v>4.62</v>
      </c>
      <c r="C40" s="157">
        <f>Design!$D$6</f>
        <v>3.5</v>
      </c>
      <c r="D40" s="157">
        <f ca="1">FORECAST(C40, OFFSET(Design!$C$15:$C$17,MATCH(C40,Design!$B$15:$B$17,1)-1,0,2), OFFSET(Design!$B$15:$B$17,MATCH(C40,Design!$B$15:$B$17,1)-1,0,2))+(M40-25)*Design!$B$18/1000</f>
        <v>0.42442275899120718</v>
      </c>
      <c r="E40" s="216">
        <f ca="1">IF(100*(Design!$C$28+D40+C40*IF(ISBLANK(Design!$B$40),Constants!$C$6,Design!$B$40)/1000*(1+Constants!$C$31/100*(N40-25)))/($B40+D40-C40*O40/1000)&gt;Design!$C$35,Design!$C$35,100*(Design!$C$28+D40+C40*IF(ISBLANK(Design!$B$40),Constants!$C$6,Design!$B$40)/1000*(1+Constants!$C$31/100*(N40-25)))/($B40+D40-C40*O40/1000))</f>
        <v>84.555474734583342</v>
      </c>
      <c r="F40" s="158">
        <f ca="1">IF(($B40-C40*IF(ISBLANK(Design!$B$40),Constants!$C$6,Design!$B$40)/1000*(1+Constants!$C$31/100*(N40-25))-Design!$C$28)/(IF(ISBLANK(Design!$B$39),Design!$B$38,Design!$B$39)/1000000)*E40/100/(IF(ISBLANK(Design!$B$32),Design!$B$31,Design!$B$32)*1000000)&lt;0, 0, ($B40-C40*IF(ISBLANK(Design!$B$40),Constants!$C$6,Design!$B$40)/1000*(1+Constants!$C$31/100*(N40-25))-Design!$C$28)/(IF(ISBLANK(Design!$B$39),Design!$B$38,Design!$B$39)/1000000)*E40/100/(IF(ISBLANK(Design!$B$32),Design!$B$31,Design!$B$32)*1000000))</f>
        <v>0.22956424402850814</v>
      </c>
      <c r="G40" s="208">
        <f>B40*Constants!$C$18/1000+IF(ISBLANK(Design!$B$32),Design!$B$31,Design!$B$32)*1000000*Constants!$D$22/1000000000*(B40-Constants!$C$21)</f>
        <v>1.0059999999999999E-2</v>
      </c>
      <c r="H40" s="208">
        <f>B40*C40*(B40/(Constants!$C$23*1000000000)*IF(ISBLANK(Design!$B$32),Design!$B$31,Design!$B$32)*1000000/2+B40/(Constants!$C$24*1000000000)*IF(ISBLANK(Design!$B$32),Design!$B$31,Design!$B$32)*1000000/2)</f>
        <v>9.0339236842105264E-2</v>
      </c>
      <c r="I40" s="208">
        <f t="shared" ca="1" si="1"/>
        <v>1.4547458439615453</v>
      </c>
      <c r="J40" s="208">
        <f>Constants!$D$22/1000000000*Constants!$C$21*IF(ISBLANK(Design!$B$32),Design!$B$31,Design!$B$32)*1000000</f>
        <v>4.9999999999999996E-2</v>
      </c>
      <c r="K40" s="208">
        <f t="shared" ca="1" si="4"/>
        <v>1.6051450808036505</v>
      </c>
      <c r="L40" s="208">
        <f t="shared" ca="1" si="5"/>
        <v>0.22942528085601399</v>
      </c>
      <c r="M40" s="209">
        <f ca="1">A40+L40*Design!$B$19</f>
        <v>98.077241008792797</v>
      </c>
      <c r="N40" s="209">
        <f ca="1">K40*Design!$C$12+A40</f>
        <v>139.57493274732411</v>
      </c>
      <c r="O40" s="209">
        <f ca="1">Constants!$D$19+Constants!$D$19*Constants!$C$20/100*(N40-25)</f>
        <v>140.39564513621283</v>
      </c>
      <c r="P40" s="208">
        <f ca="1">(1-Constants!$C$17/1000000000*Design!$B$32*1000000) * ($B40+D40-C40*O40/1000) - (D40+C40*(1+($A40-25)*Constants!$C$31/100)*IF(ISBLANK(Design!$B$40),Constants!$C$6/1000,Design!$B$40/1000))</f>
        <v>3.4502143018913758</v>
      </c>
      <c r="Q40" s="214">
        <f ca="1">IF(P40&gt;Design!$C$28,Design!$C$28,P40)</f>
        <v>3.3239005736137672</v>
      </c>
      <c r="R40" s="224">
        <f>2*Design!$D$6/3</f>
        <v>2.3333333333333335</v>
      </c>
      <c r="S40" s="159">
        <f ca="1">FORECAST(R40, OFFSET(Design!$C$15:$C$17,MATCH(R40,Design!$B$15:$B$17,1)-1,0,2), OFFSET(Design!$B$15:$B$17,MATCH(R40,Design!$B$15:$B$17,1)-1,0,2))+(AB40-25)*Design!$B$18/1000</f>
        <v>0.39775527438905561</v>
      </c>
      <c r="T40" s="225">
        <f ca="1">IF(100*(Design!$C$28+S40+R40*IF(ISBLANK(Design!$B$40),Constants!$C$6,Design!$B$40)/1000*(1+Constants!$C$31/100*(AC40-25)))/($B40+S40-R40*AD40/1000)&gt;Design!$C$35,Design!$C$35,100*(Design!$C$28+S40+R40*IF(ISBLANK(Design!$B$40),Constants!$C$6,Design!$B$40)/1000*(1+Constants!$C$31/100*(AC40-25)))/($B40+S40-R40*AD40/1000))</f>
        <v>80.004217945648222</v>
      </c>
      <c r="U40" s="160">
        <f ca="1">IF(($B40-R40*IF(ISBLANK(Design!$B$40),Constants!$C$6,Design!$B$40)/1000*(1+Constants!$C$31/100*(AC40-25))-Design!$C$28)/(Design!$B$39/1000000)*T40/100/(IF(ISBLANK(IF(ISBLANK(Design!$B$39),Design!$B$38,Design!$B$39)),Design!$B$31,Design!$B$32)*1000000)&lt;0,0,($B40-R40*IF(ISBLANK(Design!$B$40),Constants!$C$6,Design!$B$40)/1000*(1+Constants!$C$31/100*(AC40-25))-Design!$C$28)/(IF(ISBLANK(Design!$B$39),Design!$B$38,Design!$B$39)/1000000)*T40/100/(IF(ISBLANK(Design!$B$32),Design!$B$31,Design!$B$32)*1000000))</f>
        <v>0.22443282740202297</v>
      </c>
      <c r="V40" s="226">
        <f>$B40*Constants!$C$18/1000+IF(ISBLANK(Design!$B$32),Design!$B$31,Design!$B$32)*1000000*Constants!$D$22/1000000000*($B40-Constants!$C$21)</f>
        <v>1.0059999999999999E-2</v>
      </c>
      <c r="W40" s="226">
        <f>$B40*R40*($B40/(Constants!$C$23*1000000000)*IF(ISBLANK(Design!$B$32),Design!$B$31,Design!$B$32)*1000000/2+$B40/(Constants!$C$24*1000000000)*IF(ISBLANK(Design!$B$32),Design!$B$31,Design!$B$32)*1000000/2)</f>
        <v>6.0226157894736843E-2</v>
      </c>
      <c r="X40" s="226">
        <f t="shared" ca="1" si="2"/>
        <v>0.5393596585663224</v>
      </c>
      <c r="Y40" s="226">
        <f>Constants!$D$22/1000000000*Constants!$C$21*IF(ISBLANK(Design!$B$32),Design!$B$31,Design!$B$32)*1000000</f>
        <v>4.9999999999999996E-2</v>
      </c>
      <c r="Z40" s="226">
        <f t="shared" ca="1" si="10"/>
        <v>0.65964581646105924</v>
      </c>
      <c r="AA40" s="226">
        <f t="shared" ca="1" si="7"/>
        <v>0.18557998147855703</v>
      </c>
      <c r="AB40" s="227">
        <f ca="1">$A40+AA40*Design!$B$19</f>
        <v>95.578058944277757</v>
      </c>
      <c r="AC40" s="227">
        <f ca="1">Z40*Design!$C$12+$A40</f>
        <v>107.42795775967602</v>
      </c>
      <c r="AD40" s="227">
        <f ca="1">Constants!$D$19+Constants!$D$19*Constants!$C$20/100*(AC40-25)</f>
        <v>123.73065330261605</v>
      </c>
      <c r="AE40" s="226">
        <f ca="1">(1-Constants!$C$17/1000000000*Design!$B$32*1000000) * ($B40+S40-R40*AD40/1000) - (S40+R40*(1+($A40-25)*Constants!$C$31/100)*IF(ISBLANK(Design!$B$40),Constants!$C$6/1000,Design!$B$40/1000))</f>
        <v>3.6588479214584453</v>
      </c>
      <c r="AF40" s="160">
        <f ca="1">IF(AE40&gt;Design!$C$28,Design!$C$28,AE40)</f>
        <v>3.3239005736137672</v>
      </c>
      <c r="AG40" s="161">
        <f>Design!$D$6/3</f>
        <v>1.1666666666666667</v>
      </c>
      <c r="AH40" s="161">
        <f ca="1">FORECAST(AG40, OFFSET(Design!$C$15:$C$17,MATCH(AG40,Design!$B$15:$B$17,1)-1,0,2), OFFSET(Design!$B$15:$B$17,MATCH(AG40,Design!$B$15:$B$17,1)-1,0,2))+(AQ40-25)*Design!$B$18/1000</f>
        <v>0.33002778926790061</v>
      </c>
      <c r="AI40" s="239">
        <f ca="1">IF(100*(Design!$C$28+AH40+AG40*IF(ISBLANK(Design!$B$40),Constants!$C$6,Design!$B$40)/1000*(1+Constants!$C$31/100*(AR40-25)))/($B40+AH40-AG40*AS40/1000)&gt;Design!$C$35,Design!$C$35,100*(Design!$C$28+AH40+AG40*IF(ISBLANK(Design!$B$40),Constants!$C$6,Design!$B$40)/1000*(1+Constants!$C$31/100*(AR40-25)))/($B40+AH40-AG40*AS40/1000))</f>
        <v>76.500516518361067</v>
      </c>
      <c r="AJ40" s="162">
        <f ca="1">IF(($B40-AG40*IF(ISBLANK(Design!$B$40),Constants!$C$6,Design!$B$40)/1000*(1+Constants!$C$31/100*(AR40-25))-Design!$C$28)/(IF(ISBLANK(Design!$B$39),Design!$B$38,Design!$B$39)/1000000)*AI40/100/(IF(ISBLANK(Design!$B$32),Design!$B$31,Design!$B$32)*1000000)&lt;0,0,($B40-AG40*IF(ISBLANK(Design!$B$40),Constants!$C$6,Design!$B$40)/1000*(1+Constants!$C$31/100*(AR40-25))-Design!$C$28)/(IF(ISBLANK(Design!$B$39),Design!$B$38,Design!$B$39)/1000000)*AI40/100/(IF(ISBLANK(Design!$B$32),Design!$B$31,Design!$B$32)*1000000))</f>
        <v>0.22021817985577372</v>
      </c>
      <c r="AK40" s="240">
        <f>$B40*Constants!$C$18/1000+IF(ISBLANK(Design!$B$32),Design!$B$31,Design!$B$32)*1000000*Constants!$D$22/1000000000*($B40-Constants!$C$21)</f>
        <v>1.0059999999999999E-2</v>
      </c>
      <c r="AL40" s="240">
        <f>$B40*AG40*($B40/(Constants!$C$23*1000000000)*IF(ISBLANK(Design!$B$32),Design!$B$31,Design!$B$32)*1000000/2+$B40/(Constants!$C$24*1000000000)*IF(ISBLANK(Design!$B$32),Design!$B$31,Design!$B$32)*1000000/2)</f>
        <v>3.0113078947368421E-2</v>
      </c>
      <c r="AM40" s="240">
        <f t="shared" ca="1" si="3"/>
        <v>0.12096208618919857</v>
      </c>
      <c r="AN40" s="240">
        <f>Constants!$D$22/1000000000*Constants!$C$21*IF(ISBLANK(Design!$B$32),Design!$B$31,Design!$B$32)*1000000</f>
        <v>4.9999999999999996E-2</v>
      </c>
      <c r="AO40" s="240">
        <f t="shared" ca="1" si="11"/>
        <v>0.21113516513656699</v>
      </c>
      <c r="AP40" s="240">
        <f t="shared" ca="1" si="9"/>
        <v>9.0480630127799846E-2</v>
      </c>
      <c r="AQ40" s="241">
        <f ca="1">$A40+AP40*Design!$B$19</f>
        <v>90.157395917284589</v>
      </c>
      <c r="AR40" s="241">
        <f ca="1">AO40*Design!$C$12+$A40</f>
        <v>92.178595614643285</v>
      </c>
      <c r="AS40" s="241">
        <f ca="1">Constants!$D$19+Constants!$D$19*Constants!$C$20/100*(AR40-25)</f>
        <v>115.82538396663108</v>
      </c>
      <c r="AT40" s="240">
        <f ca="1">(1-Constants!$C$17/1000000000*Design!$B$32*1000000) * ($B40+AH40-AG40*AS40/1000) - (AH40+AG40*(1+($A40-25)*Constants!$C$31/100)*IF(ISBLANK(Design!$B$40),Constants!$C$6/1000,Design!$B$40/1000))</f>
        <v>3.8300982893357083</v>
      </c>
      <c r="AU40" s="162">
        <f ca="1">IF(AT40&gt;Design!$C$28,Design!$C$28,AT40)</f>
        <v>3.3239005736137672</v>
      </c>
    </row>
    <row r="41" spans="1:47" s="163" customFormat="1" ht="12.75" customHeight="1">
      <c r="A41" s="155">
        <f>Design!$D$13</f>
        <v>85</v>
      </c>
      <c r="B41" s="156">
        <f t="shared" si="0"/>
        <v>4.415</v>
      </c>
      <c r="C41" s="157">
        <f>Design!$D$6</f>
        <v>3.5</v>
      </c>
      <c r="D41" s="157">
        <f ca="1">FORECAST(C41, OFFSET(Design!$C$15:$C$17,MATCH(C41,Design!$B$15:$B$17,1)-1,0,2), OFFSET(Design!$B$15:$B$17,MATCH(C41,Design!$B$15:$B$17,1)-1,0,2))+(M41-25)*Design!$B$18/1000</f>
        <v>0.42644027155716491</v>
      </c>
      <c r="E41" s="216">
        <f ca="1">IF(100*(Design!$C$28+D41+C41*IF(ISBLANK(Design!$B$40),Constants!$C$6,Design!$B$40)/1000*(1+Constants!$C$31/100*(N41-25)))/($B41+D41-C41*O41/1000)&gt;Design!$C$35,Design!$C$35,100*(Design!$C$28+D41+C41*IF(ISBLANK(Design!$B$40),Constants!$C$6,Design!$B$40)/1000*(1+Constants!$C$31/100*(N41-25)))/($B41+D41-C41*O41/1000))</f>
        <v>87</v>
      </c>
      <c r="F41" s="158">
        <f ca="1">IF(($B41-C41*IF(ISBLANK(Design!$B$40),Constants!$C$6,Design!$B$40)/1000*(1+Constants!$C$31/100*(N41-25))-Design!$C$28)/(IF(ISBLANK(Design!$B$39),Design!$B$38,Design!$B$39)/1000000)*E41/100/(IF(ISBLANK(Design!$B$32),Design!$B$31,Design!$B$32)*1000000)&lt;0, 0, ($B41-C41*IF(ISBLANK(Design!$B$40),Constants!$C$6,Design!$B$40)/1000*(1+Constants!$C$31/100*(N41-25))-Design!$C$28)/(IF(ISBLANK(Design!$B$39),Design!$B$38,Design!$B$39)/1000000)*E41/100/(IF(ISBLANK(Design!$B$32),Design!$B$31,Design!$B$32)*1000000))</f>
        <v>0.19559540617649257</v>
      </c>
      <c r="G41" s="208">
        <f>B41*Constants!$C$18/1000+IF(ISBLANK(Design!$B$32),Design!$B$31,Design!$B$32)*1000000*Constants!$D$22/1000000000*(B41-Constants!$C$21)</f>
        <v>7.3950000000000014E-3</v>
      </c>
      <c r="H41" s="208">
        <f>B41*C41*(B41/(Constants!$C$23*1000000000)*IF(ISBLANK(Design!$B$32),Design!$B$31,Design!$B$32)*1000000/2+B41/(Constants!$C$24*1000000000)*IF(ISBLANK(Design!$B$32),Design!$B$31,Design!$B$32)*1000000/2)</f>
        <v>8.2499987390350873E-2</v>
      </c>
      <c r="I41" s="208">
        <f t="shared" ca="1" si="1"/>
        <v>1.5039222562077603</v>
      </c>
      <c r="J41" s="208">
        <f>Constants!$D$22/1000000000*Constants!$C$21*IF(ISBLANK(Design!$B$32),Design!$B$31,Design!$B$32)*1000000</f>
        <v>4.9999999999999996E-2</v>
      </c>
      <c r="K41" s="208">
        <f t="shared" ca="1" si="4"/>
        <v>1.6438172435981113</v>
      </c>
      <c r="L41" s="208">
        <f t="shared" ca="1" si="5"/>
        <v>0.19403032355851005</v>
      </c>
      <c r="M41" s="209">
        <f ca="1">A41+L41*Design!$B$19</f>
        <v>96.05972844283508</v>
      </c>
      <c r="N41" s="209">
        <f ca="1">K41*Design!$C$12+A41</f>
        <v>140.88978628233579</v>
      </c>
      <c r="O41" s="209">
        <f ca="1">Constants!$D$19+Constants!$D$19*Constants!$C$20/100*(N41-25)</f>
        <v>141.07726520876287</v>
      </c>
      <c r="P41" s="208">
        <f ca="1">(1-Constants!$C$17/1000000000*Design!$B$32*1000000) * ($B41+D41-C41*O41/1000) - (D41+C41*(1+($A41-25)*Constants!$C$31/100)*IF(ISBLANK(Design!$B$40),Constants!$C$6/1000,Design!$B$40/1000))</f>
        <v>3.2695264921368858</v>
      </c>
      <c r="Q41" s="214">
        <f ca="1">IF(P41&gt;Design!$C$28,Design!$C$28,P41)</f>
        <v>3.2695264921368858</v>
      </c>
      <c r="R41" s="224">
        <f>2*Design!$D$6/3</f>
        <v>2.3333333333333335</v>
      </c>
      <c r="S41" s="159">
        <f ca="1">FORECAST(R41, OFFSET(Design!$C$15:$C$17,MATCH(R41,Design!$B$15:$B$17,1)-1,0,2), OFFSET(Design!$B$15:$B$17,MATCH(R41,Design!$B$15:$B$17,1)-1,0,2))+(AB41-25)*Design!$B$18/1000</f>
        <v>0.3996442089882784</v>
      </c>
      <c r="T41" s="225">
        <f ca="1">IF(100*(Design!$C$28+S41+R41*IF(ISBLANK(Design!$B$40),Constants!$C$6,Design!$B$40)/1000*(1+Constants!$C$31/100*(AC41-25)))/($B41+S41-R41*AD41/1000)&gt;Design!$C$35,Design!$C$35,100*(Design!$C$28+S41+R41*IF(ISBLANK(Design!$B$40),Constants!$C$6,Design!$B$40)/1000*(1+Constants!$C$31/100*(AC41-25)))/($B41+S41-R41*AD41/1000))</f>
        <v>83.652518784574482</v>
      </c>
      <c r="U41" s="160">
        <f ca="1">IF(($B41-R41*IF(ISBLANK(Design!$B$40),Constants!$C$6,Design!$B$40)/1000*(1+Constants!$C$31/100*(AC41-25))-Design!$C$28)/(Design!$B$39/1000000)*T41/100/(IF(ISBLANK(IF(ISBLANK(Design!$B$39),Design!$B$38,Design!$B$39)),Design!$B$31,Design!$B$32)*1000000)&lt;0,0,($B41-R41*IF(ISBLANK(Design!$B$40),Constants!$C$6,Design!$B$40)/1000*(1+Constants!$C$31/100*(AC41-25))-Design!$C$28)/(IF(ISBLANK(Design!$B$39),Design!$B$38,Design!$B$39)/1000000)*T41/100/(IF(ISBLANK(Design!$B$32),Design!$B$31,Design!$B$32)*1000000))</f>
        <v>0.19567140136775321</v>
      </c>
      <c r="V41" s="226">
        <f>$B41*Constants!$C$18/1000+IF(ISBLANK(Design!$B$32),Design!$B$31,Design!$B$32)*1000000*Constants!$D$22/1000000000*($B41-Constants!$C$21)</f>
        <v>7.3950000000000014E-3</v>
      </c>
      <c r="W41" s="226">
        <f>$B41*R41*($B41/(Constants!$C$23*1000000000)*IF(ISBLANK(Design!$B$32),Design!$B$31,Design!$B$32)*1000000/2+$B41/(Constants!$C$24*1000000000)*IF(ISBLANK(Design!$B$32),Design!$B$31,Design!$B$32)*1000000/2)</f>
        <v>5.4999991593567256E-2</v>
      </c>
      <c r="X41" s="226">
        <f t="shared" ca="1" si="2"/>
        <v>0.56530076811690511</v>
      </c>
      <c r="Y41" s="226">
        <f>Constants!$D$22/1000000000*Constants!$C$21*IF(ISBLANK(Design!$B$32),Design!$B$31,Design!$B$32)*1000000</f>
        <v>4.9999999999999996E-2</v>
      </c>
      <c r="Z41" s="226">
        <f t="shared" ca="1" si="10"/>
        <v>0.67769575971047236</v>
      </c>
      <c r="AA41" s="226">
        <f t="shared" ca="1" si="7"/>
        <v>0.15244077798342101</v>
      </c>
      <c r="AB41" s="227">
        <f ca="1">$A41+AA41*Design!$B$19</f>
        <v>93.689124345054992</v>
      </c>
      <c r="AC41" s="227">
        <f ca="1">Z41*Design!$C$12+$A41</f>
        <v>108.04165583015606</v>
      </c>
      <c r="AD41" s="227">
        <f ca="1">Constants!$D$19+Constants!$D$19*Constants!$C$20/100*(AC41-25)</f>
        <v>124.04879438235291</v>
      </c>
      <c r="AE41" s="226">
        <f ca="1">(1-Constants!$C$17/1000000000*Design!$B$32*1000000) * ($B41+S41-R41*AD41/1000) - (S41+R41*(1+($A41-25)*Constants!$C$31/100)*IF(ISBLANK(Design!$B$40),Constants!$C$6/1000,Design!$B$40/1000))</f>
        <v>3.4796065335686808</v>
      </c>
      <c r="AF41" s="160">
        <f ca="1">IF(AE41&gt;Design!$C$28,Design!$C$28,AE41)</f>
        <v>3.3239005736137672</v>
      </c>
      <c r="AG41" s="161">
        <f>Design!$D$6/3</f>
        <v>1.1666666666666667</v>
      </c>
      <c r="AH41" s="161">
        <f ca="1">FORECAST(AG41, OFFSET(Design!$C$15:$C$17,MATCH(AG41,Design!$B$15:$B$17,1)-1,0,2), OFFSET(Design!$B$15:$B$17,MATCH(AG41,Design!$B$15:$B$17,1)-1,0,2))+(AQ41-25)*Design!$B$18/1000</f>
        <v>0.33076526094810471</v>
      </c>
      <c r="AI41" s="239">
        <f ca="1">IF(100*(Design!$C$28+AH41+AG41*IF(ISBLANK(Design!$B$40),Constants!$C$6,Design!$B$40)/1000*(1+Constants!$C$31/100*(AR41-25)))/($B41+AH41-AG41*AS41/1000)&gt;Design!$C$35,Design!$C$35,100*(Design!$C$28+AH41+AG41*IF(ISBLANK(Design!$B$40),Constants!$C$6,Design!$B$40)/1000*(1+Constants!$C$31/100*(AR41-25)))/($B41+AH41-AG41*AS41/1000))</f>
        <v>79.905681167666756</v>
      </c>
      <c r="AJ41" s="162">
        <f ca="1">IF(($B41-AG41*IF(ISBLANK(Design!$B$40),Constants!$C$6,Design!$B$40)/1000*(1+Constants!$C$31/100*(AR41-25))-Design!$C$28)/(IF(ISBLANK(Design!$B$39),Design!$B$38,Design!$B$39)/1000000)*AI41/100/(IF(ISBLANK(Design!$B$32),Design!$B$31,Design!$B$32)*1000000)&lt;0,0,($B41-AG41*IF(ISBLANK(Design!$B$40),Constants!$C$6,Design!$B$40)/1000*(1+Constants!$C$31/100*(AR41-25))-Design!$C$28)/(IF(ISBLANK(Design!$B$39),Design!$B$38,Design!$B$39)/1000000)*AI41/100/(IF(ISBLANK(Design!$B$32),Design!$B$31,Design!$B$32)*1000000))</f>
        <v>0.19279166153772684</v>
      </c>
      <c r="AK41" s="240">
        <f>$B41*Constants!$C$18/1000+IF(ISBLANK(Design!$B$32),Design!$B$31,Design!$B$32)*1000000*Constants!$D$22/1000000000*($B41-Constants!$C$21)</f>
        <v>7.3950000000000014E-3</v>
      </c>
      <c r="AL41" s="240">
        <f>$B41*AG41*($B41/(Constants!$C$23*1000000000)*IF(ISBLANK(Design!$B$32),Design!$B$31,Design!$B$32)*1000000/2+$B41/(Constants!$C$24*1000000000)*IF(ISBLANK(Design!$B$32),Design!$B$31,Design!$B$32)*1000000/2)</f>
        <v>2.7499995796783628E-2</v>
      </c>
      <c r="AM41" s="240">
        <f t="shared" ca="1" si="3"/>
        <v>0.12625931298632853</v>
      </c>
      <c r="AN41" s="240">
        <f>Constants!$D$22/1000000000*Constants!$C$21*IF(ISBLANK(Design!$B$32),Design!$B$31,Design!$B$32)*1000000</f>
        <v>4.9999999999999996E-2</v>
      </c>
      <c r="AO41" s="240">
        <f t="shared" ca="1" si="11"/>
        <v>0.21115430878311214</v>
      </c>
      <c r="AP41" s="240">
        <f t="shared" ca="1" si="9"/>
        <v>7.7542530475096419E-2</v>
      </c>
      <c r="AQ41" s="241">
        <f ca="1">$A41+AP41*Design!$B$19</f>
        <v>89.419924237080494</v>
      </c>
      <c r="AR41" s="241">
        <f ca="1">AO41*Design!$C$12+$A41</f>
        <v>92.179246498625815</v>
      </c>
      <c r="AS41" s="241">
        <f ca="1">Constants!$D$19+Constants!$D$19*Constants!$C$20/100*(AR41-25)</f>
        <v>115.82572138488763</v>
      </c>
      <c r="AT41" s="240">
        <f ca="1">(1-Constants!$C$17/1000000000*Design!$B$32*1000000) * ($B41+AH41-AG41*AS41/1000) - (AH41+AG41*(1+($A41-25)*Constants!$C$31/100)*IF(ISBLANK(Design!$B$40),Constants!$C$6/1000,Design!$B$40/1000))</f>
        <v>3.651652075537752</v>
      </c>
      <c r="AU41" s="162">
        <f ca="1">IF(AT41&gt;Design!$C$28,Design!$C$28,AT41)</f>
        <v>3.3239005736137672</v>
      </c>
    </row>
    <row r="42" spans="1:47" s="163" customFormat="1" ht="12.75" customHeight="1">
      <c r="A42" s="155">
        <f>Design!$D$13</f>
        <v>85</v>
      </c>
      <c r="B42" s="156">
        <f t="shared" si="0"/>
        <v>4.21</v>
      </c>
      <c r="C42" s="157">
        <f>Design!$D$6</f>
        <v>3.5</v>
      </c>
      <c r="D42" s="157">
        <f ca="1">FORECAST(C42, OFFSET(Design!$C$15:$C$17,MATCH(C42,Design!$B$15:$B$17,1)-1,0,2), OFFSET(Design!$B$15:$B$17,MATCH(C42,Design!$B$15:$B$17,1)-1,0,2))+(M42-25)*Design!$B$18/1000</f>
        <v>0.42644027155716491</v>
      </c>
      <c r="E42" s="216">
        <f ca="1">IF(100*(Design!$C$28+D42+C42*IF(ISBLANK(Design!$B$40),Constants!$C$6,Design!$B$40)/1000*(1+Constants!$C$31/100*(N42-25)))/($B42+D42-C42*O42/1000)&gt;Design!$C$35,Design!$C$35,100*(Design!$C$28+D42+C42*IF(ISBLANK(Design!$B$40),Constants!$C$6,Design!$B$40)/1000*(1+Constants!$C$31/100*(N42-25)))/($B42+D42-C42*O42/1000))</f>
        <v>87</v>
      </c>
      <c r="F42" s="158">
        <f ca="1">IF(($B42-C42*IF(ISBLANK(Design!$B$40),Constants!$C$6,Design!$B$40)/1000*(1+Constants!$C$31/100*(N42-25))-Design!$C$28)/(IF(ISBLANK(Design!$B$39),Design!$B$38,Design!$B$39)/1000000)*E42/100/(IF(ISBLANK(Design!$B$32),Design!$B$31,Design!$B$32)*1000000)&lt;0, 0, ($B42-C42*IF(ISBLANK(Design!$B$40),Constants!$C$6,Design!$B$40)/1000*(1+Constants!$C$31/100*(N42-25))-Design!$C$28)/(IF(ISBLANK(Design!$B$39),Design!$B$38,Design!$B$39)/1000000)*E42/100/(IF(ISBLANK(Design!$B$32),Design!$B$31,Design!$B$32)*1000000))</f>
        <v>0.15508475700806235</v>
      </c>
      <c r="G42" s="208">
        <f>B42*Constants!$C$18/1000+IF(ISBLANK(Design!$B$32),Design!$B$31,Design!$B$32)*1000000*Constants!$D$22/1000000000*(B42-Constants!$C$21)</f>
        <v>4.7299999999999981E-3</v>
      </c>
      <c r="H42" s="208">
        <f>B42*C42*(B42/(Constants!$C$23*1000000000)*IF(ISBLANK(Design!$B$32),Design!$B$31,Design!$B$32)*1000000/2+B42/(Constants!$C$24*1000000000)*IF(ISBLANK(Design!$B$32),Design!$B$31,Design!$B$32)*1000000/2)</f>
        <v>7.5016475877192984E-2</v>
      </c>
      <c r="I42" s="208">
        <f t="shared" ca="1" si="1"/>
        <v>1.501395598287498</v>
      </c>
      <c r="J42" s="208">
        <f>Constants!$D$22/1000000000*Constants!$C$21*IF(ISBLANK(Design!$B$32),Design!$B$31,Design!$B$32)*1000000</f>
        <v>4.9999999999999996E-2</v>
      </c>
      <c r="K42" s="208">
        <f t="shared" ca="1" si="4"/>
        <v>1.6311420741646911</v>
      </c>
      <c r="L42" s="208">
        <f t="shared" ca="1" si="5"/>
        <v>0.19403032355851005</v>
      </c>
      <c r="M42" s="209">
        <f ca="1">A42+L42*Design!$B$19</f>
        <v>96.05972844283508</v>
      </c>
      <c r="N42" s="209">
        <f ca="1">K42*Design!$C$12+A42</f>
        <v>140.45883052159951</v>
      </c>
      <c r="O42" s="209">
        <f ca="1">Constants!$D$19+Constants!$D$19*Constants!$C$20/100*(N42-25)</f>
        <v>140.8538577423972</v>
      </c>
      <c r="P42" s="208">
        <f ca="1">(1-Constants!$C$17/1000000000*Design!$B$32*1000000) * ($B42+D42-C42*O42/1000) - (D42+C42*(1+($A42-25)*Constants!$C$31/100)*IF(ISBLANK(Design!$B$40),Constants!$C$6/1000,Design!$B$40/1000))</f>
        <v>3.0918567678719695</v>
      </c>
      <c r="Q42" s="331">
        <f ca="1">IF(P42&gt;Design!$C$28,Design!$C$28,P42)</f>
        <v>3.0918567678719695</v>
      </c>
      <c r="R42" s="224">
        <f>2*Design!$D$6/3</f>
        <v>2.3333333333333335</v>
      </c>
      <c r="S42" s="159">
        <f ca="1">FORECAST(R42, OFFSET(Design!$C$15:$C$17,MATCH(R42,Design!$B$15:$B$17,1)-1,0,2), OFFSET(Design!$B$15:$B$17,MATCH(R42,Design!$B$15:$B$17,1)-1,0,2))+(AB42-25)*Design!$B$18/1000</f>
        <v>0.40139324414211619</v>
      </c>
      <c r="T42" s="225">
        <f ca="1">IF(100*(Design!$C$28+S42+R42*IF(ISBLANK(Design!$B$40),Constants!$C$6,Design!$B$40)/1000*(1+Constants!$C$31/100*(AC42-25)))/($B42+S42-R42*AD42/1000)&gt;Design!$C$35,Design!$C$35,100*(Design!$C$28+S42+R42*IF(ISBLANK(Design!$B$40),Constants!$C$6,Design!$B$40)/1000*(1+Constants!$C$31/100*(AC42-25)))/($B42+S42-R42*AD42/1000))</f>
        <v>87</v>
      </c>
      <c r="U42" s="160">
        <f ca="1">IF(($B42-R42*IF(ISBLANK(Design!$B$40),Constants!$C$6,Design!$B$40)/1000*(1+Constants!$C$31/100*(AC42-25))-Design!$C$28)/(Design!$B$39/1000000)*T42/100/(IF(ISBLANK(IF(ISBLANK(Design!$B$39),Design!$B$38,Design!$B$39)),Design!$B$31,Design!$B$32)*1000000)&lt;0,0,($B42-R42*IF(ISBLANK(Design!$B$40),Constants!$C$6,Design!$B$40)/1000*(1+Constants!$C$31/100*(AC42-25))-Design!$C$28)/(IF(ISBLANK(Design!$B$39),Design!$B$38,Design!$B$39)/1000000)*T42/100/(IF(ISBLANK(Design!$B$32),Design!$B$31,Design!$B$32)*1000000))</f>
        <v>0.16294740182693412</v>
      </c>
      <c r="V42" s="226">
        <f>$B42*Constants!$C$18/1000+IF(ISBLANK(Design!$B$32),Design!$B$31,Design!$B$32)*1000000*Constants!$D$22/1000000000*($B42-Constants!$C$21)</f>
        <v>4.7299999999999981E-3</v>
      </c>
      <c r="W42" s="226">
        <f>$B42*R42*($B42/(Constants!$C$23*1000000000)*IF(ISBLANK(Design!$B$32),Design!$B$31,Design!$B$32)*1000000/2+$B42/(Constants!$C$24*1000000000)*IF(ISBLANK(Design!$B$32),Design!$B$31,Design!$B$32)*1000000/2)</f>
        <v>5.0010983918128665E-2</v>
      </c>
      <c r="X42" s="226">
        <f t="shared" ca="1" si="2"/>
        <v>0.58917096945460912</v>
      </c>
      <c r="Y42" s="226">
        <f>Constants!$D$22/1000000000*Constants!$C$21*IF(ISBLANK(Design!$B$32),Design!$B$31,Design!$B$32)*1000000</f>
        <v>4.9999999999999996E-2</v>
      </c>
      <c r="Z42" s="226">
        <f t="shared" ca="1" si="10"/>
        <v>0.69391195337273781</v>
      </c>
      <c r="AA42" s="226">
        <f t="shared" ca="1" si="7"/>
        <v>0.12175595072310859</v>
      </c>
      <c r="AB42" s="227">
        <f ca="1">$A42+AA42*Design!$B$19</f>
        <v>91.940089191217183</v>
      </c>
      <c r="AC42" s="227">
        <f ca="1">Z42*Design!$C$12+$A42</f>
        <v>108.59300641467308</v>
      </c>
      <c r="AD42" s="227">
        <f ca="1">Constants!$D$19+Constants!$D$19*Constants!$C$20/100*(AC42-25)</f>
        <v>124.33461452536653</v>
      </c>
      <c r="AE42" s="226">
        <f ca="1">(1-Constants!$C$17/1000000000*Design!$B$32*1000000) * ($B42+S42-R42*AD42/1000) - (S42+R42*(1+($A42-25)*Constants!$C$31/100)*IF(ISBLANK(Design!$B$40),Constants!$C$6/1000,Design!$B$40/1000))</f>
        <v>3.3004489441083642</v>
      </c>
      <c r="AF42" s="333">
        <f ca="1">IF(AE42&gt;Design!$C$28,Design!$C$28,AE42)</f>
        <v>3.3004489441083642</v>
      </c>
      <c r="AG42" s="161">
        <f>Design!$D$6/3</f>
        <v>1.1666666666666667</v>
      </c>
      <c r="AH42" s="161">
        <f ca="1">FORECAST(AG42, OFFSET(Design!$C$15:$C$17,MATCH(AG42,Design!$B$15:$B$17,1)-1,0,2), OFFSET(Design!$B$15:$B$17,MATCH(AG42,Design!$B$15:$B$17,1)-1,0,2))+(AQ42-25)*Design!$B$18/1000</f>
        <v>0.33157500487296715</v>
      </c>
      <c r="AI42" s="239">
        <f ca="1">IF(100*(Design!$C$28+AH42+AG42*IF(ISBLANK(Design!$B$40),Constants!$C$6,Design!$B$40)/1000*(1+Constants!$C$31/100*(AR42-25)))/($B42+AH42-AG42*AS42/1000)&gt;Design!$C$35,Design!$C$35,100*(Design!$C$28+AH42+AG42*IF(ISBLANK(Design!$B$40),Constants!$C$6,Design!$B$40)/1000*(1+Constants!$C$31/100*(AR42-25)))/($B42+AH42-AG42*AS42/1000))</f>
        <v>83.627105496556112</v>
      </c>
      <c r="AJ42" s="162">
        <f ca="1">IF(($B42-AG42*IF(ISBLANK(Design!$B$40),Constants!$C$6,Design!$B$40)/1000*(1+Constants!$C$31/100*(AR42-25))-Design!$C$28)/(IF(ISBLANK(Design!$B$39),Design!$B$38,Design!$B$39)/1000000)*AI42/100/(IF(ISBLANK(Design!$B$32),Design!$B$31,Design!$B$32)*1000000)&lt;0,0,($B42-AG42*IF(ISBLANK(Design!$B$40),Constants!$C$6,Design!$B$40)/1000*(1+Constants!$C$31/100*(AR42-25))-Design!$C$28)/(IF(ISBLANK(Design!$B$39),Design!$B$38,Design!$B$39)/1000000)*AI42/100/(IF(ISBLANK(Design!$B$32),Design!$B$31,Design!$B$32)*1000000))</f>
        <v>0.1628074796946799</v>
      </c>
      <c r="AK42" s="240">
        <f>$B42*Constants!$C$18/1000+IF(ISBLANK(Design!$B$32),Design!$B$31,Design!$B$32)*1000000*Constants!$D$22/1000000000*($B42-Constants!$C$21)</f>
        <v>4.7299999999999981E-3</v>
      </c>
      <c r="AL42" s="240">
        <f>$B42*AG42*($B42/(Constants!$C$23*1000000000)*IF(ISBLANK(Design!$B$32),Design!$B$31,Design!$B$32)*1000000/2+$B42/(Constants!$C$24*1000000000)*IF(ISBLANK(Design!$B$32),Design!$B$31,Design!$B$32)*1000000/2)</f>
        <v>2.5005491959064333E-2</v>
      </c>
      <c r="AM42" s="240">
        <f t="shared" ca="1" si="3"/>
        <v>0.13206650251899685</v>
      </c>
      <c r="AN42" s="240">
        <f>Constants!$D$22/1000000000*Constants!$C$21*IF(ISBLANK(Design!$B$32),Design!$B$31,Design!$B$32)*1000000</f>
        <v>4.9999999999999996E-2</v>
      </c>
      <c r="AO42" s="240">
        <f t="shared" ca="1" si="11"/>
        <v>0.21180199447806117</v>
      </c>
      <c r="AP42" s="240">
        <f t="shared" ca="1" si="9"/>
        <v>6.3336496705579837E-2</v>
      </c>
      <c r="AQ42" s="241">
        <f ca="1">$A42+AP42*Design!$B$19</f>
        <v>88.610180312218048</v>
      </c>
      <c r="AR42" s="241">
        <f ca="1">AO42*Design!$C$12+$A42</f>
        <v>92.201267812254073</v>
      </c>
      <c r="AS42" s="241">
        <f ca="1">Constants!$D$19+Constants!$D$19*Constants!$C$20/100*(AR42-25)</f>
        <v>115.83713723387251</v>
      </c>
      <c r="AT42" s="240">
        <f ca="1">(1-Constants!$C$17/1000000000*Design!$B$32*1000000) * ($B42+AH42-AG42*AS42/1000) - (AH42+AG42*(1+($A42-25)*Constants!$C$31/100)*IF(ISBLANK(Design!$B$40),Constants!$C$6/1000,Design!$B$40/1000))</f>
        <v>3.4731852217407995</v>
      </c>
      <c r="AU42" s="333">
        <f ca="1">IF(AT42&gt;Design!$C$28,Design!$C$28,AT42)</f>
        <v>3.3239005736137672</v>
      </c>
    </row>
    <row r="43" spans="1:47" s="163" customFormat="1" ht="12.75" customHeight="1">
      <c r="A43" s="155">
        <f>Design!$D$13</f>
        <v>85</v>
      </c>
      <c r="B43" s="156">
        <f t="shared" si="0"/>
        <v>4.0049999999999999</v>
      </c>
      <c r="C43" s="157">
        <f>Design!$D$6</f>
        <v>3.5</v>
      </c>
      <c r="D43" s="157">
        <f ca="1">FORECAST(C43, OFFSET(Design!$C$15:$C$17,MATCH(C43,Design!$B$15:$B$17,1)-1,0,2), OFFSET(Design!$B$15:$B$17,MATCH(C43,Design!$B$15:$B$17,1)-1,0,2))+(M43-25)*Design!$B$18/1000</f>
        <v>0.42644027155716491</v>
      </c>
      <c r="E43" s="216">
        <f ca="1">IF(100*(Design!$C$28+D43+C43*IF(ISBLANK(Design!$B$40),Constants!$C$6,Design!$B$40)/1000*(1+Constants!$C$31/100*(N43-25)))/($B43+D43-C43*O43/1000)&gt;Design!$C$35,Design!$C$35,100*(Design!$C$28+D43+C43*IF(ISBLANK(Design!$B$40),Constants!$C$6,Design!$B$40)/1000*(1+Constants!$C$31/100*(N43-25)))/($B43+D43-C43*O43/1000))</f>
        <v>87</v>
      </c>
      <c r="F43" s="158">
        <f ca="1">IF(($B43-C43*IF(ISBLANK(Design!$B$40),Constants!$C$6,Design!$B$40)/1000*(1+Constants!$C$31/100*(N43-25))-Design!$C$28)/(IF(ISBLANK(Design!$B$39),Design!$B$38,Design!$B$39)/1000000)*E43/100/(IF(ISBLANK(Design!$B$32),Design!$B$31,Design!$B$32)*1000000)&lt;0, 0, ($B43-C43*IF(ISBLANK(Design!$B$40),Constants!$C$6,Design!$B$40)/1000*(1+Constants!$C$31/100*(N43-25))-Design!$C$28)/(IF(ISBLANK(Design!$B$39),Design!$B$38,Design!$B$39)/1000000)*E43/100/(IF(ISBLANK(Design!$B$32),Design!$B$31,Design!$B$32)*1000000))</f>
        <v>0.11457322049439927</v>
      </c>
      <c r="G43" s="208">
        <f>B43*Constants!$C$18/1000+IF(ISBLANK(Design!$B$32),Design!$B$31,Design!$B$32)*1000000*Constants!$D$22/1000000000*(B43-Constants!$C$21)</f>
        <v>2.0650000000000009E-3</v>
      </c>
      <c r="H43" s="208">
        <f>B43*C43*(B43/(Constants!$C$23*1000000000)*IF(ISBLANK(Design!$B$32),Design!$B$31,Design!$B$32)*1000000/2+B43/(Constants!$C$24*1000000000)*IF(ISBLANK(Design!$B$32),Design!$B$31,Design!$B$32)*1000000/2)</f>
        <v>6.7888702302631582E-2</v>
      </c>
      <c r="I43" s="208">
        <f t="shared" ca="1" si="1"/>
        <v>1.4989929983335395</v>
      </c>
      <c r="J43" s="208">
        <f>Constants!$D$22/1000000000*Constants!$C$21*IF(ISBLANK(Design!$B$32),Design!$B$31,Design!$B$32)*1000000</f>
        <v>4.9999999999999996E-2</v>
      </c>
      <c r="K43" s="208">
        <f t="shared" ca="1" si="4"/>
        <v>1.6189467006361711</v>
      </c>
      <c r="L43" s="208">
        <f t="shared" ca="1" si="5"/>
        <v>0.19403032355851005</v>
      </c>
      <c r="M43" s="209">
        <f ca="1">A43+L43*Design!$B$19</f>
        <v>96.05972844283508</v>
      </c>
      <c r="N43" s="209">
        <f ca="1">K43*Design!$C$12+A43</f>
        <v>140.04418782162981</v>
      </c>
      <c r="O43" s="209">
        <f ca="1">Constants!$D$19+Constants!$D$19*Constants!$C$20/100*(N43-25)</f>
        <v>140.63890696673292</v>
      </c>
      <c r="P43" s="208">
        <f ca="1">(1-Constants!$C$17/1000000000*Design!$B$32*1000000) * ($B43+D43-C43*O43/1000) - (D43+C43*(1+($A43-25)*Constants!$C$31/100)*IF(ISBLANK(Design!$B$40),Constants!$C$6/1000,Design!$B$40/1000))</f>
        <v>2.9141612929838665</v>
      </c>
      <c r="Q43" s="331">
        <f ca="1">IF(P43&gt;Design!$C$28,Design!$C$28,P43)</f>
        <v>2.9141612929838665</v>
      </c>
      <c r="R43" s="224">
        <f>2*Design!$D$6/3</f>
        <v>2.3333333333333335</v>
      </c>
      <c r="S43" s="159">
        <f ca="1">FORECAST(R43, OFFSET(Design!$C$15:$C$17,MATCH(R43,Design!$B$15:$B$17,1)-1,0,2), OFFSET(Design!$B$15:$B$17,MATCH(R43,Design!$B$15:$B$17,1)-1,0,2))+(AB43-25)*Design!$B$18/1000</f>
        <v>0.40139324414211619</v>
      </c>
      <c r="T43" s="225">
        <f ca="1">IF(100*(Design!$C$28+S43+R43*IF(ISBLANK(Design!$B$40),Constants!$C$6,Design!$B$40)/1000*(1+Constants!$C$31/100*(AC43-25)))/($B43+S43-R43*AD43/1000)&gt;Design!$C$35,Design!$C$35,100*(Design!$C$28+S43+R43*IF(ISBLANK(Design!$B$40),Constants!$C$6,Design!$B$40)/1000*(1+Constants!$C$31/100*(AC43-25)))/($B43+S43-R43*AD43/1000))</f>
        <v>87</v>
      </c>
      <c r="U43" s="160">
        <f ca="1">IF(($B43-R43*IF(ISBLANK(Design!$B$40),Constants!$C$6,Design!$B$40)/1000*(1+Constants!$C$31/100*(AC43-25))-Design!$C$28)/(Design!$B$39/1000000)*T43/100/(IF(ISBLANK(IF(ISBLANK(Design!$B$39),Design!$B$38,Design!$B$39)),Design!$B$31,Design!$B$32)*1000000)&lt;0,0,($B43-R43*IF(ISBLANK(Design!$B$40),Constants!$C$6,Design!$B$40)/1000*(1+Constants!$C$31/100*(AC43-25))-Design!$C$28)/(IF(ISBLANK(Design!$B$39),Design!$B$38,Design!$B$39)/1000000)*T43/100/(IF(ISBLANK(Design!$B$32),Design!$B$31,Design!$B$32)*1000000))</f>
        <v>0.12242342894980303</v>
      </c>
      <c r="V43" s="226">
        <f>$B43*Constants!$C$18/1000+IF(ISBLANK(Design!$B$32),Design!$B$31,Design!$B$32)*1000000*Constants!$D$22/1000000000*($B43-Constants!$C$21)</f>
        <v>2.0650000000000009E-3</v>
      </c>
      <c r="W43" s="226">
        <f>$B43*R43*($B43/(Constants!$C$23*1000000000)*IF(ISBLANK(Design!$B$32),Design!$B$31,Design!$B$32)*1000000/2+$B43/(Constants!$C$24*1000000000)*IF(ISBLANK(Design!$B$32),Design!$B$31,Design!$B$32)*1000000/2)</f>
        <v>4.5259134868421057E-2</v>
      </c>
      <c r="X43" s="226">
        <f t="shared" ca="1" si="2"/>
        <v>0.58838144608005627</v>
      </c>
      <c r="Y43" s="226">
        <f>Constants!$D$22/1000000000*Constants!$C$21*IF(ISBLANK(Design!$B$32),Design!$B$31,Design!$B$32)*1000000</f>
        <v>4.9999999999999996E-2</v>
      </c>
      <c r="Z43" s="226">
        <f t="shared" ca="1" si="10"/>
        <v>0.68570558094847733</v>
      </c>
      <c r="AA43" s="226">
        <f t="shared" ca="1" si="7"/>
        <v>0.12175595072310859</v>
      </c>
      <c r="AB43" s="227">
        <f ca="1">$A43+AA43*Design!$B$19</f>
        <v>91.940089191217183</v>
      </c>
      <c r="AC43" s="227">
        <f ca="1">Z43*Design!$C$12+$A43</f>
        <v>108.31398975224823</v>
      </c>
      <c r="AD43" s="227">
        <f ca="1">Constants!$D$19+Constants!$D$19*Constants!$C$20/100*(AC43-25)</f>
        <v>124.1899722875655</v>
      </c>
      <c r="AE43" s="226">
        <f ca="1">(1-Constants!$C$17/1000000000*Design!$B$32*1000000) * ($B43+S43-R43*AD43/1000) - (S43+R43*(1+($A43-25)*Constants!$C$31/100)*IF(ISBLANK(Design!$B$40),Constants!$C$6/1000,Design!$B$40/1000))</f>
        <v>3.1223925678511</v>
      </c>
      <c r="AF43" s="333">
        <f ca="1">IF(AE43&gt;Design!$C$28,Design!$C$28,AE43)</f>
        <v>3.1223925678511</v>
      </c>
      <c r="AG43" s="161">
        <f>Design!$D$6/3</f>
        <v>1.1666666666666667</v>
      </c>
      <c r="AH43" s="161">
        <f ca="1">FORECAST(AG43, OFFSET(Design!$C$15:$C$17,MATCH(AG43,Design!$B$15:$B$17,1)-1,0,2), OFFSET(Design!$B$15:$B$17,MATCH(AG43,Design!$B$15:$B$17,1)-1,0,2))+(AQ43-25)*Design!$B$18/1000</f>
        <v>0.33231234496298023</v>
      </c>
      <c r="AI43" s="239">
        <f ca="1">IF(100*(Design!$C$28+AH43+AG43*IF(ISBLANK(Design!$B$40),Constants!$C$6,Design!$B$40)/1000*(1+Constants!$C$31/100*(AR43-25)))/($B43+AH43-AG43*AS43/1000)&gt;Design!$C$35,Design!$C$35,100*(Design!$C$28+AH43+AG43*IF(ISBLANK(Design!$B$40),Constants!$C$6,Design!$B$40)/1000*(1+Constants!$C$31/100*(AR43-25)))/($B43+AH43-AG43*AS43/1000))</f>
        <v>87</v>
      </c>
      <c r="AJ43" s="162">
        <f ca="1">IF(($B43-AG43*IF(ISBLANK(Design!$B$40),Constants!$C$6,Design!$B$40)/1000*(1+Constants!$C$31/100*(AR43-25))-Design!$C$28)/(IF(ISBLANK(Design!$B$39),Design!$B$38,Design!$B$39)/1000000)*AI43/100/(IF(ISBLANK(Design!$B$32),Design!$B$31,Design!$B$32)*1000000)&lt;0,0,($B43-AG43*IF(ISBLANK(Design!$B$40),Constants!$C$6,Design!$B$40)/1000*(1+Constants!$C$31/100*(AR43-25))-Design!$C$28)/(IF(ISBLANK(Design!$B$39),Design!$B$38,Design!$B$39)/1000000)*AI43/100/(IF(ISBLANK(Design!$B$32),Design!$B$31,Design!$B$32)*1000000))</f>
        <v>0.12883970230261146</v>
      </c>
      <c r="AK43" s="240">
        <f>$B43*Constants!$C$18/1000+IF(ISBLANK(Design!$B$32),Design!$B$31,Design!$B$32)*1000000*Constants!$D$22/1000000000*($B43-Constants!$C$21)</f>
        <v>2.0650000000000009E-3</v>
      </c>
      <c r="AL43" s="240">
        <f>$B43*AG43*($B43/(Constants!$C$23*1000000000)*IF(ISBLANK(Design!$B$32),Design!$B$31,Design!$B$32)*1000000/2+$B43/(Constants!$C$24*1000000000)*IF(ISBLANK(Design!$B$32),Design!$B$31,Design!$B$32)*1000000/2)</f>
        <v>2.2629567434210528E-2</v>
      </c>
      <c r="AM43" s="240">
        <f t="shared" ca="1" si="3"/>
        <v>0.13731420405144273</v>
      </c>
      <c r="AN43" s="240">
        <f>Constants!$D$22/1000000000*Constants!$C$21*IF(ISBLANK(Design!$B$32),Design!$B$31,Design!$B$32)*1000000</f>
        <v>4.9999999999999996E-2</v>
      </c>
      <c r="AO43" s="240">
        <f t="shared" ca="1" si="11"/>
        <v>0.21200877148565325</v>
      </c>
      <c r="AP43" s="240">
        <f t="shared" ca="1" si="9"/>
        <v>5.0400705652718668E-2</v>
      </c>
      <c r="AQ43" s="241">
        <f ca="1">$A43+AP43*Design!$B$19</f>
        <v>87.872840222204971</v>
      </c>
      <c r="AR43" s="241">
        <f ca="1">AO43*Design!$C$12+$A43</f>
        <v>92.208298230512213</v>
      </c>
      <c r="AS43" s="241">
        <f ca="1">Constants!$D$19+Constants!$D$19*Constants!$C$20/100*(AR43-25)</f>
        <v>115.84078180269753</v>
      </c>
      <c r="AT43" s="240">
        <f ca="1">(1-Constants!$C$17/1000000000*Design!$B$32*1000000) * ($B43+AH43-AG43*AS43/1000) - (AH43+AG43*(1+($A43-25)*Constants!$C$31/100)*IF(ISBLANK(Design!$B$40),Constants!$C$6/1000,Design!$B$40/1000))</f>
        <v>3.2947356682917404</v>
      </c>
      <c r="AU43" s="333">
        <f ca="1">IF(AT43&gt;Design!$C$28,Design!$C$28,AT43)</f>
        <v>3.2947356682917404</v>
      </c>
    </row>
    <row r="44" spans="1:47" s="163" customFormat="1" ht="12.75" customHeight="1" thickBot="1">
      <c r="A44" s="164">
        <f>Design!$D$13</f>
        <v>85</v>
      </c>
      <c r="B44" s="165">
        <f>Constants!$C$7</f>
        <v>3.8</v>
      </c>
      <c r="C44" s="166">
        <f>Design!$D$6</f>
        <v>3.5</v>
      </c>
      <c r="D44" s="166">
        <f ca="1">FORECAST(C44, OFFSET(Design!$C$15:$C$17,MATCH(C44,Design!$B$15:$B$17,1)-1,0,2), OFFSET(Design!$B$15:$B$17,MATCH(C44,Design!$B$15:$B$17,1)-1,0,2))+(M44-25)*Design!$B$18/1000</f>
        <v>0.42644027155716491</v>
      </c>
      <c r="E44" s="217">
        <f ca="1">IF(100*(Design!$C$28+D44+C44*IF(ISBLANK(Design!$B$40),Constants!$C$6,Design!$B$40)/1000*(1+Constants!$C$31/100*(N44-25)))/($B44+D44-C44*O44/1000)&gt;Design!$C$35,Design!$C$35,100*(Design!$C$28+D44+C44*IF(ISBLANK(Design!$B$40),Constants!$C$6,Design!$B$40)/1000*(1+Constants!$C$31/100*(N44-25)))/($B44+D44-C44*O44/1000))</f>
        <v>87</v>
      </c>
      <c r="F44" s="167">
        <f ca="1">IF(($B44-C44*IF(ISBLANK(Design!$B$40),Constants!$C$6,Design!$B$40)/1000*(1+Constants!$C$31/100*(N44-25))-Design!$C$28)/(IF(ISBLANK(Design!$B$39),Design!$B$38,Design!$B$39)/1000000)*E44/100/(IF(ISBLANK(Design!$B$32),Design!$B$31,Design!$B$32)*1000000)&lt;0, 0, ($B44-C44*IF(ISBLANK(Design!$B$40),Constants!$C$6,Design!$B$40)/1000*(1+Constants!$C$31/100*(N44-25))-Design!$C$28)/(IF(ISBLANK(Design!$B$39),Design!$B$38,Design!$B$39)/1000000)*E44/100/(IF(ISBLANK(Design!$B$32),Design!$B$31,Design!$B$32)*1000000))</f>
        <v>7.4060797025672032E-2</v>
      </c>
      <c r="G44" s="210">
        <f>B44*Constants!$C$18/1000+IF(ISBLANK(Design!$B$32),Design!$B$31,Design!$B$32)*1000000*Constants!$D$22/1000000000*(B44-Constants!$C$21)</f>
        <v>-6.0000000000000331E-4</v>
      </c>
      <c r="H44" s="210">
        <f>B44*C44*(B44/(Constants!$C$23*1000000000)*IF(ISBLANK(Design!$B$32),Design!$B$31,Design!$B$32)*1000000/2+B44/(Constants!$C$24*1000000000)*IF(ISBLANK(Design!$B$32),Design!$B$31,Design!$B$32)*1000000/2)</f>
        <v>6.1116666666666659E-2</v>
      </c>
      <c r="I44" s="210">
        <f t="shared" ca="1" si="1"/>
        <v>1.4967142453780091</v>
      </c>
      <c r="J44" s="210">
        <f>Constants!$D$22/1000000000*Constants!$C$21*IF(ISBLANK(Design!$B$32),Design!$B$31,Design!$B$32)*1000000</f>
        <v>4.9999999999999996E-2</v>
      </c>
      <c r="K44" s="210">
        <f t="shared" ca="1" si="4"/>
        <v>1.6072309120446757</v>
      </c>
      <c r="L44" s="210">
        <f t="shared" ca="1" si="5"/>
        <v>0.19403032355851005</v>
      </c>
      <c r="M44" s="211">
        <f ca="1">A44+L44*Design!$B$19</f>
        <v>96.05972844283508</v>
      </c>
      <c r="N44" s="211">
        <f ca="1">K44*Design!$C$12+A44</f>
        <v>139.64585100951899</v>
      </c>
      <c r="O44" s="211">
        <f ca="1">Constants!$D$19+Constants!$D$19*Constants!$C$20/100*(N44-25)</f>
        <v>140.43240916333465</v>
      </c>
      <c r="P44" s="210">
        <f ca="1">(1-Constants!$C$17/1000000000*Design!$B$32*1000000) * ($B44+D44-C44*O44/1000) - (D44+C44*(1+($A44-25)*Constants!$C$31/100)*IF(ISBLANK(Design!$B$40),Constants!$C$6/1000,Design!$B$40/1000))</f>
        <v>2.7364400787952139</v>
      </c>
      <c r="Q44" s="332">
        <f ca="1">IF(P44&gt;Design!$C$28,Design!$C$28,P44)</f>
        <v>2.7364400787952139</v>
      </c>
      <c r="R44" s="228">
        <f>2*Design!$D$6/3</f>
        <v>2.3333333333333335</v>
      </c>
      <c r="S44" s="168">
        <f ca="1">FORECAST(R44, OFFSET(Design!$C$15:$C$17,MATCH(R44,Design!$B$15:$B$17,1)-1,0,2), OFFSET(Design!$B$15:$B$17,MATCH(R44,Design!$B$15:$B$17,1)-1,0,2))+(AB44-25)*Design!$B$18/1000</f>
        <v>0.40139324414211619</v>
      </c>
      <c r="T44" s="229">
        <f ca="1">IF(100*(Design!$C$28+S44+R44*IF(ISBLANK(Design!$B$40),Constants!$C$6,Design!$B$40)/1000*(1+Constants!$C$31/100*(AC44-25)))/($B44+S44-R44*AD44/1000)&gt;Design!$C$35,Design!$C$35,100*(Design!$C$28+S44+R44*IF(ISBLANK(Design!$B$40),Constants!$C$6,Design!$B$40)/1000*(1+Constants!$C$31/100*(AC44-25)))/($B44+S44-R44*AD44/1000))</f>
        <v>87</v>
      </c>
      <c r="U44" s="169">
        <f ca="1">IF(($B44-R44*IF(ISBLANK(Design!$B$40),Constants!$C$6,Design!$B$40)/1000*(1+Constants!$C$31/100*(AC44-25))-Design!$C$28)/(Design!$B$39/1000000)*T44/100/(IF(ISBLANK(IF(ISBLANK(Design!$B$39),Design!$B$38,Design!$B$39)),Design!$B$31,Design!$B$32)*1000000)&lt;0,0,($B44-R44*IF(ISBLANK(Design!$B$40),Constants!$C$6,Design!$B$40)/1000*(1+Constants!$C$31/100*(AC44-25))-Design!$C$28)/(IF(ISBLANK(Design!$B$39),Design!$B$38,Design!$B$39)/1000000)*T44/100/(IF(ISBLANK(Design!$B$32),Design!$B$31,Design!$B$32)*1000000))</f>
        <v>8.1899096968419904E-2</v>
      </c>
      <c r="V44" s="230">
        <f>$B44*Constants!$C$18/1000+IF(ISBLANK(Design!$B$32),Design!$B$31,Design!$B$32)*1000000*Constants!$D$22/1000000000*($B44-Constants!$C$21)</f>
        <v>-6.0000000000000331E-4</v>
      </c>
      <c r="W44" s="230">
        <f>$B44*R44*($B44/(Constants!$C$23*1000000000)*IF(ISBLANK(Design!$B$32),Design!$B$31,Design!$B$32)*1000000/2+$B44/(Constants!$C$24*1000000000)*IF(ISBLANK(Design!$B$32),Design!$B$31,Design!$B$32)*1000000/2)</f>
        <v>4.0744444444444444E-2</v>
      </c>
      <c r="X44" s="230">
        <f t="shared" ca="1" si="2"/>
        <v>0.58764602064451466</v>
      </c>
      <c r="Y44" s="230">
        <f>Constants!$D$22/1000000000*Constants!$C$21*IF(ISBLANK(Design!$B$32),Design!$B$31,Design!$B$32)*1000000</f>
        <v>4.9999999999999996E-2</v>
      </c>
      <c r="Z44" s="230">
        <f t="shared" ca="1" si="10"/>
        <v>0.67779046508895913</v>
      </c>
      <c r="AA44" s="230">
        <f t="shared" ca="1" si="7"/>
        <v>0.12175595072310859</v>
      </c>
      <c r="AB44" s="231">
        <f ca="1">$A44+AA44*Design!$B$19</f>
        <v>91.940089191217183</v>
      </c>
      <c r="AC44" s="231">
        <f ca="1">Z44*Design!$C$12+$A44</f>
        <v>108.04487581302462</v>
      </c>
      <c r="AD44" s="231">
        <f ca="1">Constants!$D$19+Constants!$D$19*Constants!$C$20/100*(AC44-25)</f>
        <v>124.05046362147198</v>
      </c>
      <c r="AE44" s="230">
        <f ca="1">(1-Constants!$C$17/1000000000*Design!$B$32*1000000) * ($B44+S44-R44*AD44/1000) - (S44+R44*(1+($A44-25)*Constants!$C$31/100)*IF(ISBLANK(Design!$B$40),Constants!$C$6/1000,Design!$B$40/1000))</f>
        <v>2.9443257704432693</v>
      </c>
      <c r="AF44" s="334">
        <f ca="1">IF(AE44&gt;Design!$C$28,Design!$C$28,AE44)</f>
        <v>2.9443257704432693</v>
      </c>
      <c r="AG44" s="170">
        <f>Design!$D$6/3</f>
        <v>1.1666666666666667</v>
      </c>
      <c r="AH44" s="170">
        <f ca="1">FORECAST(AG44, OFFSET(Design!$C$15:$C$17,MATCH(AG44,Design!$B$15:$B$17,1)-1,0,2), OFFSET(Design!$B$15:$B$17,MATCH(AG44,Design!$B$15:$B$17,1)-1,0,2))+(AQ44-25)*Design!$B$18/1000</f>
        <v>0.33231234496298023</v>
      </c>
      <c r="AI44" s="243">
        <f ca="1">IF(100*(Design!$C$28+AH44+AG44*IF(ISBLANK(Design!$B$40),Constants!$C$6,Design!$B$40)/1000*(1+Constants!$C$31/100*(AR44-25)))/($B44+AH44-AG44*AS44/1000)&gt;Design!$C$35,Design!$C$35,100*(Design!$C$28+AH44+AG44*IF(ISBLANK(Design!$B$40),Constants!$C$6,Design!$B$40)/1000*(1+Constants!$C$31/100*(AR44-25)))/($B44+AH44-AG44*AS44/1000))</f>
        <v>87</v>
      </c>
      <c r="AJ44" s="171">
        <f ca="1">IF(($B44-AG44*IF(ISBLANK(Design!$B$40),Constants!$C$6,Design!$B$40)/1000*(1+Constants!$C$31/100*(AR44-25))-Design!$C$28)/(IF(ISBLANK(Design!$B$39),Design!$B$38,Design!$B$39)/1000000)*AI44/100/(IF(ISBLANK(Design!$B$32),Design!$B$31,Design!$B$32)*1000000)&lt;0,0,($B44-AG44*IF(ISBLANK(Design!$B$40),Constants!$C$6,Design!$B$40)/1000*(1+Constants!$C$31/100*(AR44-25))-Design!$C$28)/(IF(ISBLANK(Design!$B$39),Design!$B$38,Design!$B$39)/1000000)*AI44/100/(IF(ISBLANK(Design!$B$32),Design!$B$31,Design!$B$32)*1000000))</f>
        <v>8.8308757148011452E-2</v>
      </c>
      <c r="AK44" s="244">
        <f>$B44*Constants!$C$18/1000+IF(ISBLANK(Design!$B$32),Design!$B$31,Design!$B$32)*1000000*Constants!$D$22/1000000000*($B44-Constants!$C$21)</f>
        <v>-6.0000000000000331E-4</v>
      </c>
      <c r="AL44" s="244">
        <f>$B44*AG44*($B44/(Constants!$C$23*1000000000)*IF(ISBLANK(Design!$B$32),Design!$B$31,Design!$B$32)*1000000/2+$B44/(Constants!$C$24*1000000000)*IF(ISBLANK(Design!$B$32),Design!$B$31,Design!$B$32)*1000000/2)</f>
        <v>2.0372222222222222E-2</v>
      </c>
      <c r="AM44" s="244">
        <f t="shared" ca="1" si="3"/>
        <v>0.13713373223133343</v>
      </c>
      <c r="AN44" s="244">
        <f>Constants!$D$22/1000000000*Constants!$C$21*IF(ISBLANK(Design!$B$32),Design!$B$31,Design!$B$32)*1000000</f>
        <v>4.9999999999999996E-2</v>
      </c>
      <c r="AO44" s="244">
        <f t="shared" ca="1" si="11"/>
        <v>0.20690595445355564</v>
      </c>
      <c r="AP44" s="244">
        <f t="shared" ca="1" si="9"/>
        <v>5.0400705652718668E-2</v>
      </c>
      <c r="AQ44" s="245">
        <f ca="1">$A44+AP44*Design!$B$19</f>
        <v>87.872840222204971</v>
      </c>
      <c r="AR44" s="245">
        <f ca="1">AO44*Design!$C$12+$A44</f>
        <v>92.034802451420887</v>
      </c>
      <c r="AS44" s="245">
        <f ca="1">Constants!$D$19+Constants!$D$19*Constants!$C$20/100*(AR44-25)</f>
        <v>115.75084159081659</v>
      </c>
      <c r="AT44" s="244">
        <f ca="1">(1-Constants!$C$17/1000000000*Design!$B$32*1000000) * ($B44+AH44-AG44*AS44/1000) - (AH44+AG44*(1+($A44-25)*Constants!$C$31/100)*IF(ISBLANK(Design!$B$40),Constants!$C$6/1000,Design!$B$40/1000))</f>
        <v>3.1164769576067997</v>
      </c>
      <c r="AU44" s="334">
        <f ca="1">IF(AT44&gt;Design!$C$28,Design!$C$28,AT44)</f>
        <v>3.1164769576067997</v>
      </c>
    </row>
    <row r="45" spans="1:47" s="293" customFormat="1" ht="18" customHeight="1">
      <c r="A45" s="301" t="s">
        <v>304</v>
      </c>
      <c r="B45" s="294"/>
      <c r="C45" s="295"/>
      <c r="D45" s="295"/>
      <c r="E45" s="296"/>
      <c r="F45" s="297"/>
      <c r="G45" s="297"/>
      <c r="H45" s="297"/>
      <c r="I45" s="297"/>
      <c r="J45" s="297"/>
      <c r="K45" s="297"/>
      <c r="L45" s="297"/>
      <c r="M45" s="297"/>
      <c r="N45" s="296"/>
      <c r="O45" s="296"/>
      <c r="P45" s="297"/>
      <c r="Q45" s="297"/>
      <c r="R45" s="295"/>
      <c r="S45" s="295"/>
      <c r="T45" s="296"/>
      <c r="U45" s="297"/>
      <c r="V45" s="297"/>
      <c r="W45" s="297"/>
      <c r="X45" s="297"/>
      <c r="Y45" s="297"/>
      <c r="Z45" s="297"/>
      <c r="AA45" s="297"/>
      <c r="AB45" s="297"/>
      <c r="AC45" s="296"/>
      <c r="AD45" s="296"/>
      <c r="AE45" s="297"/>
      <c r="AF45" s="297"/>
      <c r="AG45" s="295"/>
      <c r="AH45" s="295"/>
      <c r="AI45" s="296"/>
      <c r="AJ45" s="297"/>
      <c r="AK45" s="297"/>
      <c r="AL45" s="297"/>
      <c r="AM45" s="297"/>
      <c r="AN45" s="297"/>
      <c r="AO45" s="297"/>
      <c r="AP45" s="297"/>
      <c r="AQ45" s="297"/>
      <c r="AR45" s="296"/>
      <c r="AS45" s="296"/>
      <c r="AT45" s="297"/>
      <c r="AU45" s="298"/>
    </row>
    <row r="46" spans="1:47" ht="15.75" thickBot="1">
      <c r="A46" s="262" t="s">
        <v>229</v>
      </c>
      <c r="B46" s="299" t="s">
        <v>117</v>
      </c>
      <c r="C46" s="255" t="s">
        <v>103</v>
      </c>
      <c r="D46" s="255" t="s">
        <v>254</v>
      </c>
      <c r="E46" s="246" t="s">
        <v>252</v>
      </c>
      <c r="F46" s="246" t="s">
        <v>253</v>
      </c>
      <c r="G46" s="246" t="s">
        <v>104</v>
      </c>
      <c r="H46" s="246" t="s">
        <v>105</v>
      </c>
      <c r="I46" s="246" t="s">
        <v>106</v>
      </c>
      <c r="J46" s="246" t="s">
        <v>217</v>
      </c>
      <c r="K46" s="246" t="s">
        <v>107</v>
      </c>
      <c r="L46" s="246" t="s">
        <v>274</v>
      </c>
      <c r="M46" s="246" t="s">
        <v>305</v>
      </c>
      <c r="N46" s="246" t="s">
        <v>306</v>
      </c>
      <c r="O46" s="246" t="s">
        <v>122</v>
      </c>
      <c r="P46" s="246" t="s">
        <v>266</v>
      </c>
      <c r="Q46" s="263" t="s">
        <v>265</v>
      </c>
      <c r="R46" s="255" t="s">
        <v>103</v>
      </c>
      <c r="S46" s="255" t="s">
        <v>254</v>
      </c>
      <c r="T46" s="246" t="s">
        <v>252</v>
      </c>
      <c r="U46" s="246" t="s">
        <v>253</v>
      </c>
      <c r="V46" s="246" t="s">
        <v>104</v>
      </c>
      <c r="W46" s="246" t="s">
        <v>105</v>
      </c>
      <c r="X46" s="246" t="s">
        <v>106</v>
      </c>
      <c r="Y46" s="246" t="s">
        <v>217</v>
      </c>
      <c r="Z46" s="246" t="s">
        <v>107</v>
      </c>
      <c r="AA46" s="246" t="s">
        <v>274</v>
      </c>
      <c r="AB46" s="246" t="s">
        <v>305</v>
      </c>
      <c r="AC46" s="246" t="s">
        <v>306</v>
      </c>
      <c r="AD46" s="246" t="s">
        <v>122</v>
      </c>
      <c r="AE46" s="246" t="s">
        <v>266</v>
      </c>
      <c r="AF46" s="263" t="s">
        <v>265</v>
      </c>
      <c r="AG46" s="255" t="s">
        <v>103</v>
      </c>
      <c r="AH46" s="255" t="s">
        <v>254</v>
      </c>
      <c r="AI46" s="246" t="s">
        <v>252</v>
      </c>
      <c r="AJ46" s="246" t="s">
        <v>253</v>
      </c>
      <c r="AK46" s="246" t="s">
        <v>104</v>
      </c>
      <c r="AL46" s="246" t="s">
        <v>105</v>
      </c>
      <c r="AM46" s="246" t="s">
        <v>106</v>
      </c>
      <c r="AN46" s="246" t="s">
        <v>217</v>
      </c>
      <c r="AO46" s="246" t="s">
        <v>107</v>
      </c>
      <c r="AP46" s="246" t="s">
        <v>274</v>
      </c>
      <c r="AQ46" s="246" t="s">
        <v>305</v>
      </c>
      <c r="AR46" s="246" t="s">
        <v>306</v>
      </c>
      <c r="AS46" s="246" t="s">
        <v>122</v>
      </c>
      <c r="AT46" s="246" t="s">
        <v>266</v>
      </c>
      <c r="AU46" s="263" t="s">
        <v>265</v>
      </c>
    </row>
    <row r="47" spans="1:47" ht="12.75" customHeight="1">
      <c r="A47" s="202">
        <f>Design!$D$13</f>
        <v>85</v>
      </c>
      <c r="B47" s="203">
        <f t="shared" ref="B47:B86" si="12">$B48+$AU$88</f>
        <v>12.000000000000002</v>
      </c>
      <c r="C47" s="204">
        <f>Design!$D$6</f>
        <v>3.5</v>
      </c>
      <c r="D47" s="204">
        <f ca="1">FORECAST(C47, OFFSET(Design!$C$15:$C$17,MATCH(C47,Design!$B$15:$B$17,1)-1,0,2), OFFSET(Design!$B$15:$B$17,MATCH(C47,Design!$B$15:$B$17,1)-1,0,2))+(M47-25)*Design!$B$18/1000</f>
        <v>0.38521349303265784</v>
      </c>
      <c r="E47" s="215">
        <f ca="1">IF(100*(Design!$C$28+D47+C47*IF(ISBLANK(Design!$B$40),Constants!$C$6,Design!$B$40)/1000*(1+Constants!$C$31/100*(N47-25)))/($B47+D47-C47*O47/1000)&gt;Design!$C$35,Design!$C$35,100*(Design!$C$28+D47+C47*IF(ISBLANK(Design!$B$40),Constants!$C$6,Design!$B$40)/1000*(1+Constants!$C$31/100*(N47-25)))/($B47+D47-C47*O47/1000))</f>
        <v>31.962987028585996</v>
      </c>
      <c r="F47" s="205">
        <f ca="1">IF(($B47-C47*IF(ISBLANK(Design!$B$40),Constants!$C$6,Design!$B$40)/1000*(1+Constants!$C$31/100*(N47-25))-Design!$C$28)/(IF(ISBLANK(Design!$B$39),Design!$B$38,Design!$B$39)/1000000)*E47/100/(IF(ISBLANK(Design!$B$32),Design!$B$31,Design!$B$32)*1000000)&lt;0,0,($B47-C47*IF(ISBLANK(Design!$B$40),Constants!$C$6,Design!$B$40)/1000*(1+Constants!$C$31/100*(N47-25))-Design!$C$28)/(IF(ISBLANK(Design!$B$39),Design!$B$38,Design!$B$39)/1000000)*E47/100/(IF(ISBLANK(Design!$B$32),Design!$B$31,Design!$B$32)*1000000))</f>
        <v>0.62309511144968699</v>
      </c>
      <c r="G47" s="206">
        <f>B47*Constants!$C$18/1000+IF(ISBLANK(Design!$B$32),Design!$B$31,Design!$B$32)*1000000*Constants!$D$22/1000000000*(B47-Constants!$C$21)</f>
        <v>0.10600000000000002</v>
      </c>
      <c r="H47" s="206">
        <f>B47*C47*(B47/(Constants!$C$23*1000000000)*IF(ISBLANK(Design!$B$32),Design!$B$31,Design!$B$32)*1000000/2+B47/(Constants!$C$24*1000000000)*IF(ISBLANK(Design!$B$32),Design!$B$31,Design!$B$32)*1000000/2)</f>
        <v>0.6094736842105265</v>
      </c>
      <c r="I47" s="206">
        <f t="shared" ref="I47:I87" ca="1" si="13">IF($D$115,1,E47/100*(C47^2+F47^2/12)*O47/1000)</f>
        <v>0.52971918214521196</v>
      </c>
      <c r="J47" s="206">
        <f>Constants!$D$22/1000000000*Constants!$C$21*IF(ISBLANK(Design!$B$32),Design!$B$31,Design!$B$32)*1000000</f>
        <v>4.9999999999999996E-2</v>
      </c>
      <c r="K47" s="206">
        <f ca="1">SUM(G47:J47)</f>
        <v>1.2951928663557386</v>
      </c>
      <c r="L47" s="206">
        <f ca="1">C47*D47*(1-E47/100)</f>
        <v>0.91730713977793243</v>
      </c>
      <c r="M47" s="207">
        <f ca="1">$A47+L47*Design!$B$19</f>
        <v>137.28650696734215</v>
      </c>
      <c r="N47" s="207">
        <f ca="1">K47*Design!$C$12+A47</f>
        <v>129.03655745609512</v>
      </c>
      <c r="O47" s="207">
        <f ca="1">Constants!$D$19+Constants!$D$19*Constants!$C$20/100*(N47-25)</f>
        <v>134.93255138523972</v>
      </c>
      <c r="P47" s="206">
        <f ca="1">(1-Constants!$D$17/1000000000*Design!$B$32*1000000) * ($B47+D47-C47*O47/1000) - (D47+C47*(1+($A47-25)*Constants!$C$31/100)*IF(ISBLANK(Design!$B$40),Constants!$C$6/1000,Design!$B$40/1000))</f>
        <v>8.5821221749874255</v>
      </c>
      <c r="Q47" s="205">
        <f ca="1">IF(P47&gt;Design!$C$28,Design!$C$28,P47)</f>
        <v>3.3239005736137672</v>
      </c>
      <c r="R47" s="219">
        <f>2*Design!$D$6/3</f>
        <v>2.3333333333333335</v>
      </c>
      <c r="S47" s="219">
        <f ca="1">FORECAST(R47, OFFSET(Design!$C$15:$C$17,MATCH(R47,Design!$B$15:$B$17,1)-1,0,2), OFFSET(Design!$B$15:$B$17,MATCH(R47,Design!$B$15:$B$17,1)-1,0,2))+(AB47-25)*Design!$B$18/1000</f>
        <v>0.37406891668229719</v>
      </c>
      <c r="T47" s="220">
        <f ca="1">IF(100*(Design!$C$28+S47+R47*IF(ISBLANK(Design!$B$40),Constants!$C$6,Design!$B$40)/1000*(1+Constants!$C$31/100*(AC47-25)))/($B47+S47-R47*AD47/1000)&gt;Design!$C$35,Design!$C$35,100*(Design!$C$28+S47+R47*IF(ISBLANK(Design!$B$40),Constants!$C$6,Design!$B$40)/1000*(1+Constants!$C$31/100*(AC47-25)))/($B47+S47-R47*AD47/1000))</f>
        <v>31.128414745098812</v>
      </c>
      <c r="U47" s="221">
        <f ca="1">IF(($B47-R47*IF(ISBLANK(Design!$B$40),Constants!$C$6,Design!$B$40)/1000*(1+Constants!$C$31/100*(AC47-25))-Design!$C$28)/(IF(ISBLANK(Design!$B$39),Design!$B$38,Design!$B$39)/1000000)*T47/100/(IF(ISBLANK(Design!$B$32),Design!$B$31,Design!$B$32)*1000000)&lt;0,0,($B47-R47*IF(ISBLANK(Design!$B$40),Constants!$C$6,Design!$B$40)/1000*(1+Constants!$C$31/100*(AC47-25))-Design!$C$28)/(IF(ISBLANK(Design!$B$39),Design!$B$38,Design!$B$39)/1000000)*T47/100/(IF(ISBLANK(Design!$B$32),Design!$B$31,Design!$B$32)*1000000))</f>
        <v>0.60938013690273218</v>
      </c>
      <c r="V47" s="222">
        <f>$B47*Constants!$C$18/1000+IF(ISBLANK(Design!$B$32),Design!$B$31,Design!$B$32)*1000000*Constants!$D$22/1000000000*($B47-Constants!$C$21)</f>
        <v>0.10600000000000002</v>
      </c>
      <c r="W47" s="222">
        <f>$B47*R47*($B47/(Constants!$C$23*1000000000)*IF(ISBLANK(Design!$B$32),Design!$B$31,Design!$B$32)*1000000/2+$B47/(Constants!$C$24*1000000000)*IF(ISBLANK(Design!$B$32),Design!$B$31,Design!$B$32)*1000000/2)</f>
        <v>0.40631578947368441</v>
      </c>
      <c r="X47" s="222">
        <f t="shared" ref="X47:X87" ca="1" si="14">IF($D$115,1,T47/100*(R47^2+U47^2/12)*AD47/1000)</f>
        <v>0.21440380431795797</v>
      </c>
      <c r="Y47" s="222">
        <f>Constants!$D$22/1000000000*Constants!$C$21*IF(ISBLANK(Design!$B$32),Design!$B$31,Design!$B$32)*1000000</f>
        <v>4.9999999999999996E-2</v>
      </c>
      <c r="Z47" s="222">
        <f ca="1">SUM(V47:Y47)</f>
        <v>0.77671959379164246</v>
      </c>
      <c r="AA47" s="222">
        <f ca="1">R47*S47*(1-T47/100)</f>
        <v>0.60113011668484506</v>
      </c>
      <c r="AB47" s="223">
        <f ca="1">$A47+AA47*Design!$B$19</f>
        <v>119.26441665103617</v>
      </c>
      <c r="AC47" s="223">
        <f ca="1">Z47*Design!$C$12+$A47</f>
        <v>111.40846618891584</v>
      </c>
      <c r="AD47" s="223">
        <f ca="1">Constants!$D$19+Constants!$D$19*Constants!$C$20/100*(AC47-25)</f>
        <v>125.79414887233398</v>
      </c>
      <c r="AE47" s="222">
        <f ca="1">(1-Constants!$D$17/1000000000*Design!$B$32*1000000) * ($B47+S47-R47*AD47/1000) - (S47+R47*(1+($A47-25)*Constants!$C$31/100)*IF(ISBLANK(Design!$B$40),Constants!$C$6/1000,Design!$B$40/1000))</f>
        <v>8.7494778359959771</v>
      </c>
      <c r="AF47" s="221">
        <f ca="1">IF(AE47&gt;Design!$C$28,Design!$C$28,AE47)</f>
        <v>3.3239005736137672</v>
      </c>
      <c r="AG47" s="233">
        <f>Design!$D$6/3</f>
        <v>1.1666666666666667</v>
      </c>
      <c r="AH47" s="233">
        <f ca="1">FORECAST(AG47, OFFSET(Design!$C$15:$C$17,MATCH(AG47,Design!$B$15:$B$17,1)-1,0,2), OFFSET(Design!$B$15:$B$17,MATCH(AG47,Design!$B$15:$B$17,1)-1,0,2))+(AQ47-25)*Design!$B$18/1000</f>
        <v>0.32030972198885987</v>
      </c>
      <c r="AI47" s="234">
        <f ca="1">IF(100*(Design!$C$28+AH47+AG47*IF(ISBLANK(Design!$B$40),Constants!$C$6,Design!$B$40)/1000*(1+Constants!$C$31/100*(AR47-25)))/($B47+AH47-AG47*AS47/1000)&gt;Design!$C$35,Design!$C$35,100*(Design!$C$28+AH47+AG47*IF(ISBLANK(Design!$B$40),Constants!$C$6,Design!$B$40)/1000*(1+Constants!$C$31/100*(AR47-25)))/($B47+AH47-AG47*AS47/1000))</f>
        <v>30.164100391442069</v>
      </c>
      <c r="AJ47" s="235">
        <f ca="1">IF(($B47-AG47*IF(ISBLANK(Design!$B$40),Constants!$C$6,Design!$B$40)/1000*(1+Constants!$C$31/100*(AR47-25))-Design!$C$28)/(IF(ISBLANK(Design!$B$39),Design!$B$38,Design!$B$39)/1000000)*AI47/100/(IF(ISBLANK(Design!$B$32),Design!$B$31,Design!$B$32)*1000000)&lt;0,0,($B47-AG47*IF(ISBLANK(Design!$B$40),Constants!$C$6,Design!$B$40)/1000*(1+Constants!$C$31/100*(AR47-25))-Design!$C$28)/(IF(ISBLANK(Design!$B$39),Design!$B$38,Design!$B$39)/1000000)*AI47/100/(IF(ISBLANK(Design!$B$32),Design!$B$31,Design!$B$32)*1000000))</f>
        <v>0.59272377009249577</v>
      </c>
      <c r="AK47" s="236">
        <f>$B47*Constants!$C$18/1000+IF(ISBLANK(Design!$B$32),Design!$B$31,Design!$B$32)*1000000*Constants!$D$22/1000000000*($B47-Constants!$C$21)</f>
        <v>0.10600000000000002</v>
      </c>
      <c r="AL47" s="236">
        <f>$B47*AG47*($B47/(Constants!$C$23*1000000000)*IF(ISBLANK(Design!$B$32),Design!$B$31,Design!$B$32)*1000000/2+$B47/(Constants!$C$24*1000000000)*IF(ISBLANK(Design!$B$32),Design!$B$31,Design!$B$32)*1000000/2)</f>
        <v>0.2031578947368422</v>
      </c>
      <c r="AM47" s="236">
        <f t="shared" ref="AM47:AM87" ca="1" si="15">IF($D$115,1,AI47/100*(AG47^2+AJ47^2/12)*AS47/1000)</f>
        <v>5.0041050088209395E-2</v>
      </c>
      <c r="AN47" s="236">
        <f>Constants!$D$22/1000000000*Constants!$C$21*IF(ISBLANK(Design!$B$32),Design!$B$31,Design!$B$32)*1000000</f>
        <v>4.9999999999999996E-2</v>
      </c>
      <c r="AO47" s="236">
        <f ca="1">SUM(AK47:AN47)</f>
        <v>0.40919894482505165</v>
      </c>
      <c r="AP47" s="236">
        <f ca="1">AG47*AH47*(1-AI47/100)</f>
        <v>0.26097303853202308</v>
      </c>
      <c r="AQ47" s="237">
        <f ca="1">$A47+AP47*Design!$B$19</f>
        <v>99.875463196325313</v>
      </c>
      <c r="AR47" s="237">
        <f ca="1">AO47*Design!$C$12+$A47</f>
        <v>98.912764124051762</v>
      </c>
      <c r="AS47" s="237">
        <f ca="1">Constants!$D$19+Constants!$D$19*Constants!$C$20/100*(AR47-25)</f>
        <v>119.31637692190844</v>
      </c>
      <c r="AT47" s="236">
        <f ca="1">(1-Constants!$D$17/1000000000*Design!$B$32*1000000) * ($B47+AH47-AG47*AS47/1000) - (AH47+AG47*(1+($A47-25)*Constants!$C$31/100)*IF(ISBLANK(Design!$B$40),Constants!$C$6/1000,Design!$B$40/1000))</f>
        <v>8.908496479185251</v>
      </c>
      <c r="AU47" s="235">
        <f ca="1">IF(AT47&gt;Design!$C$28,Design!$C$28,AT47)</f>
        <v>3.3239005736137672</v>
      </c>
    </row>
    <row r="48" spans="1:47" ht="12.75" customHeight="1">
      <c r="A48" s="155">
        <f>Design!$D$13</f>
        <v>85</v>
      </c>
      <c r="B48" s="156">
        <f t="shared" si="12"/>
        <v>11.795000000000002</v>
      </c>
      <c r="C48" s="157">
        <f>Design!$D$6</f>
        <v>3.5</v>
      </c>
      <c r="D48" s="157">
        <f ca="1">FORECAST(C48, OFFSET(Design!$C$15:$C$17,MATCH(C48,Design!$B$15:$B$17,1)-1,0,2), OFFSET(Design!$B$15:$B$17,MATCH(C48,Design!$B$15:$B$17,1)-1,0,2))+(M48-25)*Design!$B$18/1000</f>
        <v>0.38559145601935491</v>
      </c>
      <c r="E48" s="216">
        <f ca="1">IF(100*(Design!$C$28+D48+C48*IF(ISBLANK(Design!$B$40),Constants!$C$6,Design!$B$40)/1000*(1+Constants!$C$31/100*(N48-25)))/($B48+D48-C48*O48/1000)&gt;Design!$C$35,Design!$C$35,100*(Design!$C$28+D48+C48*IF(ISBLANK(Design!$B$40),Constants!$C$6,Design!$B$40)/1000*(1+Constants!$C$31/100*(N48-25)))/($B48+D48-C48*O48/1000))</f>
        <v>32.52101444451057</v>
      </c>
      <c r="F48" s="158">
        <f ca="1">IF(($B48-C48*IF(ISBLANK(Design!$B$40),Constants!$C$6,Design!$B$40)/1000*(1+Constants!$C$31/100*(N48-25))-Design!$C$28)/(IF(ISBLANK(Design!$B$39),Design!$B$38,Design!$B$39)/1000000)*E48/100/(IF(ISBLANK(Design!$B$32),Design!$B$31,Design!$B$32)*1000000)&lt;0,0,($B48-C48*IF(ISBLANK(Design!$B$40),Constants!$C$6,Design!$B$40)/1000*(1+Constants!$C$31/100*(N48-25))-Design!$C$28)/(IF(ISBLANK(Design!$B$39),Design!$B$38,Design!$B$39)/1000000)*E48/100/(IF(ISBLANK(Design!$B$32),Design!$B$31,Design!$B$32)*1000000))</f>
        <v>0.61883208501022635</v>
      </c>
      <c r="G48" s="208">
        <f>B48*Constants!$C$18/1000+IF(ISBLANK(Design!$B$32),Design!$B$31,Design!$B$32)*1000000*Constants!$D$22/1000000000*(B48-Constants!$C$21)</f>
        <v>0.10333500000000004</v>
      </c>
      <c r="H48" s="208">
        <f>B48*C48*(B48/(Constants!$C$23*1000000000)*IF(ISBLANK(Design!$B$32),Design!$B$31,Design!$B$32)*1000000/2+B48/(Constants!$C$24*1000000000)*IF(ISBLANK(Design!$B$32),Design!$B$31,Design!$B$32)*1000000/2)</f>
        <v>0.5888278689692984</v>
      </c>
      <c r="I48" s="208">
        <f t="shared" ca="1" si="13"/>
        <v>0.53788149271627417</v>
      </c>
      <c r="J48" s="208">
        <f>Constants!$D$22/1000000000*Constants!$C$21*IF(ISBLANK(Design!$B$32),Design!$B$31,Design!$B$32)*1000000</f>
        <v>4.9999999999999996E-2</v>
      </c>
      <c r="K48" s="208">
        <f t="shared" ref="K48" ca="1" si="16">SUM(G48:J48)</f>
        <v>1.2800443616855726</v>
      </c>
      <c r="L48" s="208">
        <f t="shared" ref="L48:L87" ca="1" si="17">C48*D48*(1-E48/100)</f>
        <v>0.9106762101867566</v>
      </c>
      <c r="M48" s="209">
        <f ca="1">$A48+L48*Design!$B$19</f>
        <v>136.90854398064513</v>
      </c>
      <c r="N48" s="209">
        <f ca="1">K48*Design!$C$12+A48</f>
        <v>128.52150829730948</v>
      </c>
      <c r="O48" s="209">
        <f ca="1">Constants!$D$19+Constants!$D$19*Constants!$C$20/100*(N48-25)</f>
        <v>134.66554990132525</v>
      </c>
      <c r="P48" s="208">
        <f ca="1">(1-Constants!$D$17/1000000000*Design!$B$32*1000000) * ($B48+D48-C48*O48/1000) - (D48+C48*(1+($A48-25)*Constants!$C$31/100)*IF(ISBLANK(Design!$B$40),Constants!$C$6/1000,Design!$B$40/1000))</f>
        <v>8.4269416878178323</v>
      </c>
      <c r="Q48" s="158">
        <f ca="1">IF(P48&gt;Design!$C$28,Design!$C$28,P48)</f>
        <v>3.3239005736137672</v>
      </c>
      <c r="R48" s="159">
        <f>2*Design!$D$6/3</f>
        <v>2.3333333333333335</v>
      </c>
      <c r="S48" s="159">
        <f ca="1">FORECAST(R48, OFFSET(Design!$C$15:$C$17,MATCH(R48,Design!$B$15:$B$17,1)-1,0,2), OFFSET(Design!$B$15:$B$17,MATCH(R48,Design!$B$15:$B$17,1)-1,0,2))+(AB48-25)*Design!$B$18/1000</f>
        <v>0.37431365123768245</v>
      </c>
      <c r="T48" s="225">
        <f ca="1">IF(100*(Design!$C$28+S48+R48*IF(ISBLANK(Design!$B$40),Constants!$C$6,Design!$B$40)/1000*(1+Constants!$C$31/100*(AC48-25)))/($B48+S48-R48*AD48/1000)&gt;Design!$C$35,Design!$C$35,100*(Design!$C$28+S48+R48*IF(ISBLANK(Design!$B$40),Constants!$C$6,Design!$B$40)/1000*(1+Constants!$C$31/100*(AC48-25)))/($B48+S48-R48*AD48/1000))</f>
        <v>31.6650401127031</v>
      </c>
      <c r="U48" s="160">
        <f ca="1">IF(($B48-R48*IF(ISBLANK(Design!$B$40),Constants!$C$6,Design!$B$40)/1000*(1+Constants!$C$31/100*(AC48-25))-Design!$C$28)/(IF(ISBLANK(Design!$B$39),Design!$B$38,Design!$B$39)/1000000)*T48/100/(IF(ISBLANK(Design!$B$32),Design!$B$31,Design!$B$32)*1000000)&lt;0,0,($B48-R48*IF(ISBLANK(Design!$B$40),Constants!$C$6,Design!$B$40)/1000*(1+Constants!$C$31/100*(AC48-25))-Design!$C$28)/(IF(ISBLANK(Design!$B$39),Design!$B$38,Design!$B$39)/1000000)*T48/100/(IF(ISBLANK(Design!$B$32),Design!$B$31,Design!$B$32)*1000000))</f>
        <v>0.60513816428627598</v>
      </c>
      <c r="V48" s="226">
        <f>$B48*Constants!$C$18/1000+IF(ISBLANK(Design!$B$32),Design!$B$31,Design!$B$32)*1000000*Constants!$D$22/1000000000*($B48-Constants!$C$21)</f>
        <v>0.10333500000000004</v>
      </c>
      <c r="W48" s="226">
        <f>$B48*R48*($B48/(Constants!$C$23*1000000000)*IF(ISBLANK(Design!$B$32),Design!$B$31,Design!$B$32)*1000000/2+$B48/(Constants!$C$24*1000000000)*IF(ISBLANK(Design!$B$32),Design!$B$31,Design!$B$32)*1000000/2)</f>
        <v>0.39255191264619899</v>
      </c>
      <c r="X48" s="226">
        <f t="shared" ca="1" si="14"/>
        <v>0.21768095629355191</v>
      </c>
      <c r="Y48" s="226">
        <f>Constants!$D$22/1000000000*Constants!$C$21*IF(ISBLANK(Design!$B$32),Design!$B$31,Design!$B$32)*1000000</f>
        <v>4.9999999999999996E-2</v>
      </c>
      <c r="Z48" s="226">
        <f t="shared" ref="Z48" ca="1" si="18">SUM(V48:Y48)</f>
        <v>0.76356786893975093</v>
      </c>
      <c r="AA48" s="226">
        <f t="shared" ref="AA48:AA87" ca="1" si="19">R48*S48*(1-T48/100)</f>
        <v>0.59683652799387577</v>
      </c>
      <c r="AB48" s="227">
        <f ca="1">$A48+AA48*Design!$B$19</f>
        <v>119.01968209565092</v>
      </c>
      <c r="AC48" s="227">
        <f ca="1">Z48*Design!$C$12+$A48</f>
        <v>110.96130754395153</v>
      </c>
      <c r="AD48" s="227">
        <f ca="1">Constants!$D$19+Constants!$D$19*Constants!$C$20/100*(AC48-25)</f>
        <v>125.56234183078448</v>
      </c>
      <c r="AE48" s="226">
        <f ca="1">(1-Constants!$D$17/1000000000*Design!$B$32*1000000) * ($B48+S48-R48*AD48/1000) - (S48+R48*(1+($A48-25)*Constants!$C$31/100)*IF(ISBLANK(Design!$B$40),Constants!$C$6/1000,Design!$B$40/1000))</f>
        <v>8.5940301708563656</v>
      </c>
      <c r="AF48" s="160">
        <f ca="1">IF(AE48&gt;Design!$C$28,Design!$C$28,AE48)</f>
        <v>3.3239005736137672</v>
      </c>
      <c r="AG48" s="161">
        <f>Design!$D$6/3</f>
        <v>1.1666666666666667</v>
      </c>
      <c r="AH48" s="161">
        <f ca="1">FORECAST(AG48, OFFSET(Design!$C$15:$C$17,MATCH(AG48,Design!$B$15:$B$17,1)-1,0,2), OFFSET(Design!$B$15:$B$17,MATCH(AG48,Design!$B$15:$B$17,1)-1,0,2))+(AQ48-25)*Design!$B$18/1000</f>
        <v>0.32041484049517854</v>
      </c>
      <c r="AI48" s="239">
        <f ca="1">IF(100*(Design!$C$28+AH48+AG48*IF(ISBLANK(Design!$B$40),Constants!$C$6,Design!$B$40)/1000*(1+Constants!$C$31/100*(AR48-25)))/($B48+AH48-AG48*AS48/1000)&gt;Design!$C$35,Design!$C$35,100*(Design!$C$28+AH48+AG48*IF(ISBLANK(Design!$B$40),Constants!$C$6,Design!$B$40)/1000*(1+Constants!$C$31/100*(AR48-25)))/($B48+AH48-AG48*AS48/1000))</f>
        <v>30.680349848025472</v>
      </c>
      <c r="AJ48" s="162">
        <f ca="1">IF(($B48-AG48*IF(ISBLANK(Design!$B$40),Constants!$C$6,Design!$B$40)/1000*(1+Constants!$C$31/100*(AR48-25))-Design!$C$28)/(IF(ISBLANK(Design!$B$39),Design!$B$38,Design!$B$39)/1000000)*AI48/100/(IF(ISBLANK(Design!$B$32),Design!$B$31,Design!$B$32)*1000000)&lt;0,0,($B48-AG48*IF(ISBLANK(Design!$B$40),Constants!$C$6,Design!$B$40)/1000*(1+Constants!$C$31/100*(AR48-25))-Design!$C$28)/(IF(ISBLANK(Design!$B$39),Design!$B$38,Design!$B$39)/1000000)*AI48/100/(IF(ISBLANK(Design!$B$32),Design!$B$31,Design!$B$32)*1000000))</f>
        <v>0.58857571115330642</v>
      </c>
      <c r="AK48" s="240">
        <f>$B48*Constants!$C$18/1000+IF(ISBLANK(Design!$B$32),Design!$B$31,Design!$B$32)*1000000*Constants!$D$22/1000000000*($B48-Constants!$C$21)</f>
        <v>0.10333500000000004</v>
      </c>
      <c r="AL48" s="240">
        <f>$B48*AG48*($B48/(Constants!$C$23*1000000000)*IF(ISBLANK(Design!$B$32),Design!$B$31,Design!$B$32)*1000000/2+$B48/(Constants!$C$24*1000000000)*IF(ISBLANK(Design!$B$32),Design!$B$31,Design!$B$32)*1000000/2)</f>
        <v>0.19627595632309949</v>
      </c>
      <c r="AM48" s="240">
        <f t="shared" ca="1" si="15"/>
        <v>5.0816609887740505E-2</v>
      </c>
      <c r="AN48" s="240">
        <f>Constants!$D$22/1000000000*Constants!$C$21*IF(ISBLANK(Design!$B$32),Design!$B$31,Design!$B$32)*1000000</f>
        <v>4.9999999999999996E-2</v>
      </c>
      <c r="AO48" s="240">
        <f t="shared" ref="AO48" ca="1" si="20">SUM(AK48:AN48)</f>
        <v>0.40042756621084002</v>
      </c>
      <c r="AP48" s="240">
        <f t="shared" ref="AP48:AP87" ca="1" si="21">AG48*AH48*(1-AI48/100)</f>
        <v>0.25912885421064247</v>
      </c>
      <c r="AQ48" s="241">
        <f ca="1">$A48+AP48*Design!$B$19</f>
        <v>99.770344690006624</v>
      </c>
      <c r="AR48" s="241">
        <f ca="1">AO48*Design!$C$12+$A48</f>
        <v>98.614537251168557</v>
      </c>
      <c r="AS48" s="241">
        <f ca="1">Constants!$D$19+Constants!$D$19*Constants!$C$20/100*(AR48-25)</f>
        <v>119.16177611100579</v>
      </c>
      <c r="AT48" s="240">
        <f ca="1">(1-Constants!$D$17/1000000000*Design!$B$32*1000000) * ($B48+AH48-AG48*AS48/1000) - (AH48+AG48*(1+($A48-25)*Constants!$C$31/100)*IF(ISBLANK(Design!$B$40),Constants!$C$6/1000,Design!$B$40/1000))</f>
        <v>8.7528083301294011</v>
      </c>
      <c r="AU48" s="162">
        <f ca="1">IF(AT48&gt;Design!$C$28,Design!$C$28,AT48)</f>
        <v>3.3239005736137672</v>
      </c>
    </row>
    <row r="49" spans="1:47" ht="12.75" customHeight="1">
      <c r="A49" s="155">
        <f>Design!$D$13</f>
        <v>85</v>
      </c>
      <c r="B49" s="156">
        <f t="shared" si="12"/>
        <v>11.590000000000002</v>
      </c>
      <c r="C49" s="157">
        <f>Design!$D$6</f>
        <v>3.5</v>
      </c>
      <c r="D49" s="157">
        <f ca="1">FORECAST(C49, OFFSET(Design!$C$15:$C$17,MATCH(C49,Design!$B$15:$B$17,1)-1,0,2), OFFSET(Design!$B$15:$B$17,MATCH(C49,Design!$B$15:$B$17,1)-1,0,2))+(M49-25)*Design!$B$18/1000</f>
        <v>0.38598376326262746</v>
      </c>
      <c r="E49" s="216">
        <f ca="1">IF(100*(Design!$C$28+D49+C49*IF(ISBLANK(Design!$B$40),Constants!$C$6,Design!$B$40)/1000*(1+Constants!$C$31/100*(N49-25)))/($B49+D49-C49*O49/1000)&gt;Design!$C$35,Design!$C$35,100*(Design!$C$28+D49+C49*IF(ISBLANK(Design!$B$40),Constants!$C$6,Design!$B$40)/1000*(1+Constants!$C$31/100*(N49-25)))/($B49+D49-C49*O49/1000))</f>
        <v>33.099063965659475</v>
      </c>
      <c r="F49" s="158">
        <f ca="1">IF(($B49-C49*IF(ISBLANK(Design!$B$40),Constants!$C$6,Design!$B$40)/1000*(1+Constants!$C$31/100*(N49-25))-Design!$C$28)/(IF(ISBLANK(Design!$B$39),Design!$B$38,Design!$B$39)/1000000)*E49/100/(IF(ISBLANK(Design!$B$32),Design!$B$31,Design!$B$32)*1000000)&lt;0,0,($B49-C49*IF(ISBLANK(Design!$B$40),Constants!$C$6,Design!$B$40)/1000*(1+Constants!$C$31/100*(N49-25))-Design!$C$28)/(IF(ISBLANK(Design!$B$39),Design!$B$38,Design!$B$39)/1000000)*E49/100/(IF(ISBLANK(Design!$B$32),Design!$B$31,Design!$B$32)*1000000))</f>
        <v>0.61442061863359909</v>
      </c>
      <c r="G49" s="208">
        <f>B49*Constants!$C$18/1000+IF(ISBLANK(Design!$B$32),Design!$B$31,Design!$B$32)*1000000*Constants!$D$22/1000000000*(B49-Constants!$C$21)</f>
        <v>0.10067000000000001</v>
      </c>
      <c r="H49" s="208">
        <f>B49*C49*(B49/(Constants!$C$23*1000000000)*IF(ISBLANK(Design!$B$32),Design!$B$31,Design!$B$32)*1000000/2+B49/(Constants!$C$24*1000000000)*IF(ISBLANK(Design!$B$32),Design!$B$31,Design!$B$32)*1000000/2)</f>
        <v>0.56853779166666685</v>
      </c>
      <c r="I49" s="208">
        <f t="shared" ca="1" si="13"/>
        <v>0.54638661412952672</v>
      </c>
      <c r="J49" s="208">
        <f>Constants!$D$22/1000000000*Constants!$C$21*IF(ISBLANK(Design!$B$32),Design!$B$31,Design!$B$32)*1000000</f>
        <v>4.9999999999999996E-2</v>
      </c>
      <c r="K49" s="208">
        <f ca="1">SUM(G49:J49)</f>
        <v>1.2655944057961936</v>
      </c>
      <c r="L49" s="208">
        <f t="shared" ca="1" si="17"/>
        <v>0.90379362697144783</v>
      </c>
      <c r="M49" s="209">
        <f ca="1">$A49+L49*Design!$B$19</f>
        <v>136.51623673737254</v>
      </c>
      <c r="N49" s="209">
        <f ca="1">K49*Design!$C$12+A49</f>
        <v>128.0302097970706</v>
      </c>
      <c r="O49" s="209">
        <f ca="1">Constants!$D$19+Constants!$D$19*Constants!$C$20/100*(N49-25)</f>
        <v>134.41086075880139</v>
      </c>
      <c r="P49" s="208">
        <f ca="1">(1-Constants!$D$17/1000000000*Design!$B$32*1000000) * ($B49+D49-C49*O49/1000) - (D49+C49*(1+($A49-25)*Constants!$C$31/100)*IF(ISBLANK(Design!$B$40),Constants!$C$6/1000,Design!$B$40/1000))</f>
        <v>8.2717250071985582</v>
      </c>
      <c r="Q49" s="158">
        <f ca="1">IF(P49&gt;Design!$C$28,Design!$C$28,P49)</f>
        <v>3.3239005736137672</v>
      </c>
      <c r="R49" s="159">
        <f>2*Design!$D$6/3</f>
        <v>2.3333333333333335</v>
      </c>
      <c r="S49" s="159">
        <f ca="1">FORECAST(R49, OFFSET(Design!$C$15:$C$17,MATCH(R49,Design!$B$15:$B$17,1)-1,0,2), OFFSET(Design!$B$15:$B$17,MATCH(R49,Design!$B$15:$B$17,1)-1,0,2))+(AB49-25)*Design!$B$18/1000</f>
        <v>0.37456733845576129</v>
      </c>
      <c r="T49" s="225">
        <f ca="1">IF(100*(Design!$C$28+S49+R49*IF(ISBLANK(Design!$B$40),Constants!$C$6,Design!$B$40)/1000*(1+Constants!$C$31/100*(AC49-25)))/($B49+S49-R49*AD49/1000)&gt;Design!$C$35,Design!$C$35,100*(Design!$C$28+S49+R49*IF(ISBLANK(Design!$B$40),Constants!$C$6,Design!$B$40)/1000*(1+Constants!$C$31/100*(AC49-25)))/($B49+S49-R49*AD49/1000))</f>
        <v>32.220555646869492</v>
      </c>
      <c r="U49" s="160">
        <f ca="1">IF(($B49-R49*IF(ISBLANK(Design!$B$40),Constants!$C$6,Design!$B$40)/1000*(1+Constants!$C$31/100*(AC49-25))-Design!$C$28)/(IF(ISBLANK(Design!$B$39),Design!$B$38,Design!$B$39)/1000000)*T49/100/(IF(ISBLANK(Design!$B$32),Design!$B$31,Design!$B$32)*1000000)&lt;0,0,($B49-R49*IF(ISBLANK(Design!$B$40),Constants!$C$6,Design!$B$40)/1000*(1+Constants!$C$31/100*(AC49-25))-Design!$C$28)/(IF(ISBLANK(Design!$B$39),Design!$B$38,Design!$B$39)/1000000)*T49/100/(IF(ISBLANK(Design!$B$32),Design!$B$31,Design!$B$32)*1000000))</f>
        <v>0.60074839345545805</v>
      </c>
      <c r="V49" s="226">
        <f>$B49*Constants!$C$18/1000+IF(ISBLANK(Design!$B$32),Design!$B$31,Design!$B$32)*1000000*Constants!$D$22/1000000000*($B49-Constants!$C$21)</f>
        <v>0.10067000000000001</v>
      </c>
      <c r="W49" s="226">
        <f>$B49*R49*($B49/(Constants!$C$23*1000000000)*IF(ISBLANK(Design!$B$32),Design!$B$31,Design!$B$32)*1000000/2+$B49/(Constants!$C$24*1000000000)*IF(ISBLANK(Design!$B$32),Design!$B$31,Design!$B$32)*1000000/2)</f>
        <v>0.3790251944444446</v>
      </c>
      <c r="X49" s="226">
        <f t="shared" ca="1" si="14"/>
        <v>0.22108440541246774</v>
      </c>
      <c r="Y49" s="226">
        <f>Constants!$D$22/1000000000*Constants!$C$21*IF(ISBLANK(Design!$B$32),Design!$B$31,Design!$B$32)*1000000</f>
        <v>4.9999999999999996E-2</v>
      </c>
      <c r="Z49" s="226">
        <f ca="1">SUM(V49:Y49)</f>
        <v>0.75077959985691245</v>
      </c>
      <c r="AA49" s="226">
        <f t="shared" ca="1" si="19"/>
        <v>0.59238587504512441</v>
      </c>
      <c r="AB49" s="227">
        <f ca="1">$A49+AA49*Design!$B$19</f>
        <v>118.7659948775721</v>
      </c>
      <c r="AC49" s="227">
        <f ca="1">Z49*Design!$C$12+$A49</f>
        <v>110.52650639513502</v>
      </c>
      <c r="AD49" s="227">
        <f ca="1">Constants!$D$19+Constants!$D$19*Constants!$C$20/100*(AC49-25)</f>
        <v>125.33694091523799</v>
      </c>
      <c r="AE49" s="226">
        <f ca="1">(1-Constants!$D$17/1000000000*Design!$B$32*1000000) * ($B49+S49-R49*AD49/1000) - (S49+R49*(1+($A49-25)*Constants!$C$31/100)*IF(ISBLANK(Design!$B$40),Constants!$C$6/1000,Design!$B$40/1000))</f>
        <v>8.4385689968809299</v>
      </c>
      <c r="AF49" s="160">
        <f ca="1">IF(AE49&gt;Design!$C$28,Design!$C$28,AE49)</f>
        <v>3.3239005736137672</v>
      </c>
      <c r="AG49" s="161">
        <f>Design!$D$6/3</f>
        <v>1.1666666666666667</v>
      </c>
      <c r="AH49" s="161">
        <f ca="1">FORECAST(AG49, OFFSET(Design!$C$15:$C$17,MATCH(AG49,Design!$B$15:$B$17,1)-1,0,2), OFFSET(Design!$B$15:$B$17,MATCH(AG49,Design!$B$15:$B$17,1)-1,0,2))+(AQ49-25)*Design!$B$18/1000</f>
        <v>0.32052369463977315</v>
      </c>
      <c r="AI49" s="239">
        <f ca="1">IF(100*(Design!$C$28+AH49+AG49*IF(ISBLANK(Design!$B$40),Constants!$C$6,Design!$B$40)/1000*(1+Constants!$C$31/100*(AR49-25)))/($B49+AH49-AG49*AS49/1000)&gt;Design!$C$35,Design!$C$35,100*(Design!$C$28+AH49+AG49*IF(ISBLANK(Design!$B$40),Constants!$C$6,Design!$B$40)/1000*(1+Constants!$C$31/100*(AR49-25)))/($B49+AH49-AG49*AS49/1000))</f>
        <v>31.214588586327551</v>
      </c>
      <c r="AJ49" s="162">
        <f ca="1">IF(($B49-AG49*IF(ISBLANK(Design!$B$40),Constants!$C$6,Design!$B$40)/1000*(1+Constants!$C$31/100*(AR49-25))-Design!$C$28)/(IF(ISBLANK(Design!$B$39),Design!$B$38,Design!$B$39)/1000000)*AI49/100/(IF(ISBLANK(Design!$B$32),Design!$B$31,Design!$B$32)*1000000)&lt;0,0,($B49-AG49*IF(ISBLANK(Design!$B$40),Constants!$C$6,Design!$B$40)/1000*(1+Constants!$C$31/100*(AR49-25))-Design!$C$28)/(IF(ISBLANK(Design!$B$39),Design!$B$38,Design!$B$39)/1000000)*AI49/100/(IF(ISBLANK(Design!$B$32),Design!$B$31,Design!$B$32)*1000000))</f>
        <v>0.58428336179073725</v>
      </c>
      <c r="AK49" s="240">
        <f>$B49*Constants!$C$18/1000+IF(ISBLANK(Design!$B$32),Design!$B$31,Design!$B$32)*1000000*Constants!$D$22/1000000000*($B49-Constants!$C$21)</f>
        <v>0.10067000000000001</v>
      </c>
      <c r="AL49" s="240">
        <f>$B49*AG49*($B49/(Constants!$C$23*1000000000)*IF(ISBLANK(Design!$B$32),Design!$B$31,Design!$B$32)*1000000/2+$B49/(Constants!$C$24*1000000000)*IF(ISBLANK(Design!$B$32),Design!$B$31,Design!$B$32)*1000000/2)</f>
        <v>0.1895125972222223</v>
      </c>
      <c r="AM49" s="240">
        <f t="shared" ca="1" si="15"/>
        <v>5.1619939293660461E-2</v>
      </c>
      <c r="AN49" s="240">
        <f>Constants!$D$22/1000000000*Constants!$C$21*IF(ISBLANK(Design!$B$32),Design!$B$31,Design!$B$32)*1000000</f>
        <v>4.9999999999999996E-2</v>
      </c>
      <c r="AO49" s="240">
        <f ca="1">SUM(AK49:AN49)</f>
        <v>0.39180253651588276</v>
      </c>
      <c r="AP49" s="240">
        <f t="shared" ca="1" si="21"/>
        <v>0.2572191323756497</v>
      </c>
      <c r="AQ49" s="241">
        <f ca="1">$A49+AP49*Design!$B$19</f>
        <v>99.661490545412036</v>
      </c>
      <c r="AR49" s="241">
        <f ca="1">AO49*Design!$C$12+$A49</f>
        <v>98.321286241540008</v>
      </c>
      <c r="AS49" s="241">
        <f ca="1">Constants!$D$19+Constants!$D$19*Constants!$C$20/100*(AR49-25)</f>
        <v>119.00975478761436</v>
      </c>
      <c r="AT49" s="240">
        <f ca="1">(1-Constants!$D$17/1000000000*Design!$B$32*1000000) * ($B49+AH49-AG49*AS49/1000) - (AH49+AG49*(1+($A49-25)*Constants!$C$31/100)*IF(ISBLANK(Design!$B$40),Constants!$C$6/1000,Design!$B$40/1000))</f>
        <v>8.597116997374771</v>
      </c>
      <c r="AU49" s="162">
        <f ca="1">IF(AT49&gt;Design!$C$28,Design!$C$28,AT49)</f>
        <v>3.3239005736137672</v>
      </c>
    </row>
    <row r="50" spans="1:47" ht="12.75" customHeight="1">
      <c r="A50" s="155">
        <f>Design!$D$13</f>
        <v>85</v>
      </c>
      <c r="B50" s="156">
        <f t="shared" si="12"/>
        <v>11.385000000000002</v>
      </c>
      <c r="C50" s="157">
        <f>Design!$D$6</f>
        <v>3.5</v>
      </c>
      <c r="D50" s="157">
        <f ca="1">FORECAST(C50, OFFSET(Design!$C$15:$C$17,MATCH(C50,Design!$B$15:$B$17,1)-1,0,2), OFFSET(Design!$B$15:$B$17,MATCH(C50,Design!$B$15:$B$17,1)-1,0,2))+(M50-25)*Design!$B$18/1000</f>
        <v>0.38639124721016305</v>
      </c>
      <c r="E50" s="216">
        <f ca="1">IF(100*(Design!$C$28+D50+C50*IF(ISBLANK(Design!$B$40),Constants!$C$6,Design!$B$40)/1000*(1+Constants!$C$31/100*(N50-25)))/($B50+D50-C50*O50/1000)&gt;Design!$C$35,Design!$C$35,100*(Design!$C$28+D50+C50*IF(ISBLANK(Design!$B$40),Constants!$C$6,Design!$B$40)/1000*(1+Constants!$C$31/100*(N50-25)))/($B50+D50-C50*O50/1000))</f>
        <v>33.698232980127791</v>
      </c>
      <c r="F50" s="158">
        <f ca="1">IF(($B50-C50*IF(ISBLANK(Design!$B$40),Constants!$C$6,Design!$B$40)/1000*(1+Constants!$C$31/100*(N50-25))-Design!$C$28)/(IF(ISBLANK(Design!$B$39),Design!$B$38,Design!$B$39)/1000000)*E50/100/(IF(ISBLANK(Design!$B$32),Design!$B$31,Design!$B$32)*1000000)&lt;0,0,($B50-C50*IF(ISBLANK(Design!$B$40),Constants!$C$6,Design!$B$40)/1000*(1+Constants!$C$31/100*(N50-25))-Design!$C$28)/(IF(ISBLANK(Design!$B$39),Design!$B$38,Design!$B$39)/1000000)*E50/100/(IF(ISBLANK(Design!$B$32),Design!$B$31,Design!$B$32)*1000000))</f>
        <v>0.60985256503891527</v>
      </c>
      <c r="G50" s="208">
        <f>B50*Constants!$C$18/1000+IF(ISBLANK(Design!$B$32),Design!$B$31,Design!$B$32)*1000000*Constants!$D$22/1000000000*(B50-Constants!$C$21)</f>
        <v>9.8005000000000009E-2</v>
      </c>
      <c r="H50" s="208">
        <f>B50*C50*(B50/(Constants!$C$23*1000000000)*IF(ISBLANK(Design!$B$32),Design!$B$31,Design!$B$32)*1000000/2+B50/(Constants!$C$24*1000000000)*IF(ISBLANK(Design!$B$32),Design!$B$31,Design!$B$32)*1000000/2)</f>
        <v>0.54860345230263174</v>
      </c>
      <c r="I50" s="208">
        <f t="shared" ca="1" si="13"/>
        <v>0.55525476005677343</v>
      </c>
      <c r="J50" s="208">
        <f>Constants!$D$22/1000000000*Constants!$C$21*IF(ISBLANK(Design!$B$32),Design!$B$31,Design!$B$32)*1000000</f>
        <v>4.9999999999999996E-2</v>
      </c>
      <c r="K50" s="208">
        <f t="shared" ref="K50:K87" ca="1" si="22">SUM(G50:J50)</f>
        <v>1.2518632123594051</v>
      </c>
      <c r="L50" s="208">
        <f t="shared" ca="1" si="17"/>
        <v>0.89664478578661266</v>
      </c>
      <c r="M50" s="209">
        <f ca="1">$A50+L50*Design!$B$19</f>
        <v>136.10875278983693</v>
      </c>
      <c r="N50" s="209">
        <f ca="1">K50*Design!$C$12+A50</f>
        <v>127.56334922021978</v>
      </c>
      <c r="O50" s="209">
        <f ca="1">Constants!$D$19+Constants!$D$19*Constants!$C$20/100*(N50-25)</f>
        <v>134.16884023576193</v>
      </c>
      <c r="P50" s="208">
        <f ca="1">(1-Constants!$D$17/1000000000*Design!$B$32*1000000) * ($B50+D50-C50*O50/1000) - (D50+C50*(1+($A50-25)*Constants!$C$31/100)*IF(ISBLANK(Design!$B$40),Constants!$C$6/1000,Design!$B$40/1000))</f>
        <v>8.1164709856424349</v>
      </c>
      <c r="Q50" s="158">
        <f ca="1">IF(P50&gt;Design!$C$28,Design!$C$28,P50)</f>
        <v>3.3239005736137672</v>
      </c>
      <c r="R50" s="159">
        <f>2*Design!$D$6/3</f>
        <v>2.3333333333333335</v>
      </c>
      <c r="S50" s="159">
        <f ca="1">FORECAST(R50, OFFSET(Design!$C$15:$C$17,MATCH(R50,Design!$B$15:$B$17,1)-1,0,2), OFFSET(Design!$B$15:$B$17,MATCH(R50,Design!$B$15:$B$17,1)-1,0,2))+(AB50-25)*Design!$B$18/1000</f>
        <v>0.37483047821902815</v>
      </c>
      <c r="T50" s="225">
        <f ca="1">IF(100*(Design!$C$28+S50+R50*IF(ISBLANK(Design!$B$40),Constants!$C$6,Design!$B$40)/1000*(1+Constants!$C$31/100*(AC50-25)))/($B50+S50-R50*AD50/1000)&gt;Design!$C$35,Design!$C$35,100*(Design!$C$28+S50+R50*IF(ISBLANK(Design!$B$40),Constants!$C$6,Design!$B$40)/1000*(1+Constants!$C$31/100*(AC50-25)))/($B50+S50-R50*AD50/1000))</f>
        <v>32.795975538100173</v>
      </c>
      <c r="U50" s="160">
        <f ca="1">IF(($B50-R50*IF(ISBLANK(Design!$B$40),Constants!$C$6,Design!$B$40)/1000*(1+Constants!$C$31/100*(AC50-25))-Design!$C$28)/(IF(ISBLANK(Design!$B$39),Design!$B$38,Design!$B$39)/1000000)*T50/100/(IF(ISBLANK(Design!$B$32),Design!$B$31,Design!$B$32)*1000000)&lt;0,0,($B50-R50*IF(ISBLANK(Design!$B$40),Constants!$C$6,Design!$B$40)/1000*(1+Constants!$C$31/100*(AC50-25))-Design!$C$28)/(IF(ISBLANK(Design!$B$39),Design!$B$38,Design!$B$39)/1000000)*T50/100/(IF(ISBLANK(Design!$B$32),Design!$B$31,Design!$B$32)*1000000))</f>
        <v>0.59620285666971484</v>
      </c>
      <c r="V50" s="226">
        <f>$B50*Constants!$C$18/1000+IF(ISBLANK(Design!$B$32),Design!$B$31,Design!$B$32)*1000000*Constants!$D$22/1000000000*($B50-Constants!$C$21)</f>
        <v>9.8005000000000009E-2</v>
      </c>
      <c r="W50" s="226">
        <f>$B50*R50*($B50/(Constants!$C$23*1000000000)*IF(ISBLANK(Design!$B$32),Design!$B$31,Design!$B$32)*1000000/2+$B50/(Constants!$C$24*1000000000)*IF(ISBLANK(Design!$B$32),Design!$B$31,Design!$B$32)*1000000/2)</f>
        <v>0.36573563486842114</v>
      </c>
      <c r="X50" s="226">
        <f t="shared" ca="1" si="14"/>
        <v>0.22462113189136168</v>
      </c>
      <c r="Y50" s="226">
        <f>Constants!$D$22/1000000000*Constants!$C$21*IF(ISBLANK(Design!$B$32),Design!$B$31,Design!$B$32)*1000000</f>
        <v>4.9999999999999996E-2</v>
      </c>
      <c r="Z50" s="226">
        <f t="shared" ref="Z50:Z87" ca="1" si="23">SUM(V50:Y50)</f>
        <v>0.73836176675978282</v>
      </c>
      <c r="AA50" s="226">
        <f t="shared" ca="1" si="19"/>
        <v>0.58776938797026745</v>
      </c>
      <c r="AB50" s="227">
        <f ca="1">$A50+AA50*Design!$B$19</f>
        <v>118.50285511430525</v>
      </c>
      <c r="AC50" s="227">
        <f ca="1">Z50*Design!$C$12+$A50</f>
        <v>110.10430006983262</v>
      </c>
      <c r="AD50" s="227">
        <f ca="1">Constants!$D$19+Constants!$D$19*Constants!$C$20/100*(AC50-25)</f>
        <v>125.11806915620124</v>
      </c>
      <c r="AE50" s="226">
        <f ca="1">(1-Constants!$D$17/1000000000*Design!$B$32*1000000) * ($B50+S50-R50*AD50/1000) - (S50+R50*(1+($A50-25)*Constants!$C$31/100)*IF(ISBLANK(Design!$B$40),Constants!$C$6/1000,Design!$B$40/1000))</f>
        <v>8.2830939759237712</v>
      </c>
      <c r="AF50" s="160">
        <f ca="1">IF(AE50&gt;Design!$C$28,Design!$C$28,AE50)</f>
        <v>3.3239005736137672</v>
      </c>
      <c r="AG50" s="161">
        <f>Design!$D$6/3</f>
        <v>1.1666666666666667</v>
      </c>
      <c r="AH50" s="161">
        <f ca="1">FORECAST(AG50, OFFSET(Design!$C$15:$C$17,MATCH(AG50,Design!$B$15:$B$17,1)-1,0,2), OFFSET(Design!$B$15:$B$17,MATCH(AG50,Design!$B$15:$B$17,1)-1,0,2))+(AQ50-25)*Design!$B$18/1000</f>
        <v>0.32063648703289171</v>
      </c>
      <c r="AI50" s="239">
        <f ca="1">IF(100*(Design!$C$28+AH50+AG50*IF(ISBLANK(Design!$B$40),Constants!$C$6,Design!$B$40)/1000*(1+Constants!$C$31/100*(AR50-25)))/($B50+AH50-AG50*AS50/1000)&gt;Design!$C$35,Design!$C$35,100*(Design!$C$28+AH50+AG50*IF(ISBLANK(Design!$B$40),Constants!$C$6,Design!$B$40)/1000*(1+Constants!$C$31/100*(AR50-25)))/($B50+AH50-AG50*AS50/1000))</f>
        <v>31.76777295419911</v>
      </c>
      <c r="AJ50" s="162">
        <f ca="1">IF(($B50-AG50*IF(ISBLANK(Design!$B$40),Constants!$C$6,Design!$B$40)/1000*(1+Constants!$C$31/100*(AR50-25))-Design!$C$28)/(IF(ISBLANK(Design!$B$39),Design!$B$38,Design!$B$39)/1000000)*AI50/100/(IF(ISBLANK(Design!$B$32),Design!$B$31,Design!$B$32)*1000000)&lt;0,0,($B50-AG50*IF(ISBLANK(Design!$B$40),Constants!$C$6,Design!$B$40)/1000*(1+Constants!$C$31/100*(AR50-25))-Design!$C$28)/(IF(ISBLANK(Design!$B$39),Design!$B$38,Design!$B$39)/1000000)*AI50/100/(IF(ISBLANK(Design!$B$32),Design!$B$31,Design!$B$32)*1000000))</f>
        <v>0.57983903487174837</v>
      </c>
      <c r="AK50" s="240">
        <f>$B50*Constants!$C$18/1000+IF(ISBLANK(Design!$B$32),Design!$B$31,Design!$B$32)*1000000*Constants!$D$22/1000000000*($B50-Constants!$C$21)</f>
        <v>9.8005000000000009E-2</v>
      </c>
      <c r="AL50" s="240">
        <f>$B50*AG50*($B50/(Constants!$C$23*1000000000)*IF(ISBLANK(Design!$B$32),Design!$B$31,Design!$B$32)*1000000/2+$B50/(Constants!$C$24*1000000000)*IF(ISBLANK(Design!$B$32),Design!$B$31,Design!$B$32)*1000000/2)</f>
        <v>0.18286781743421057</v>
      </c>
      <c r="AM50" s="240">
        <f t="shared" ca="1" si="15"/>
        <v>5.2452510188242318E-2</v>
      </c>
      <c r="AN50" s="240">
        <f>Constants!$D$22/1000000000*Constants!$C$21*IF(ISBLANK(Design!$B$32),Design!$B$31,Design!$B$32)*1000000</f>
        <v>4.9999999999999996E-2</v>
      </c>
      <c r="AO50" s="240">
        <f t="shared" ref="AO50:AO87" ca="1" si="24">SUM(AK50:AN50)</f>
        <v>0.38332532762245286</v>
      </c>
      <c r="AP50" s="240">
        <f t="shared" ca="1" si="21"/>
        <v>0.25524031846128975</v>
      </c>
      <c r="AQ50" s="241">
        <f ca="1">$A50+AP50*Design!$B$19</f>
        <v>99.548698152293511</v>
      </c>
      <c r="AR50" s="241">
        <f ca="1">AO50*Design!$C$12+$A50</f>
        <v>98.033061139163394</v>
      </c>
      <c r="AS50" s="241">
        <f ca="1">Constants!$D$19+Constants!$D$19*Constants!$C$20/100*(AR50-25)</f>
        <v>118.86033889454231</v>
      </c>
      <c r="AT50" s="240">
        <f ca="1">(1-Constants!$D$17/1000000000*Design!$B$32*1000000) * ($B50+AH50-AG50*AS50/1000) - (AH50+AG50*(1+($A50-25)*Constants!$C$31/100)*IF(ISBLANK(Design!$B$40),Constants!$C$6/1000,Design!$B$40/1000))</f>
        <v>8.4414224092922794</v>
      </c>
      <c r="AU50" s="162">
        <f ca="1">IF(AT50&gt;Design!$C$28,Design!$C$28,AT50)</f>
        <v>3.3239005736137672</v>
      </c>
    </row>
    <row r="51" spans="1:47" ht="12.75" customHeight="1">
      <c r="A51" s="155">
        <f>Design!$D$13</f>
        <v>85</v>
      </c>
      <c r="B51" s="156">
        <f t="shared" si="12"/>
        <v>11.180000000000001</v>
      </c>
      <c r="C51" s="157">
        <f>Design!$D$6</f>
        <v>3.5</v>
      </c>
      <c r="D51" s="157">
        <f ca="1">FORECAST(C51, OFFSET(Design!$C$15:$C$17,MATCH(C51,Design!$B$15:$B$17,1)-1,0,2), OFFSET(Design!$B$15:$B$17,MATCH(C51,Design!$B$15:$B$17,1)-1,0,2))+(M51-25)*Design!$B$18/1000</f>
        <v>0.38681480609601798</v>
      </c>
      <c r="E51" s="216">
        <f ca="1">IF(100*(Design!$C$28+D51+C51*IF(ISBLANK(Design!$B$40),Constants!$C$6,Design!$B$40)/1000*(1+Constants!$C$31/100*(N51-25)))/($B51+D51-C51*O51/1000)&gt;Design!$C$35,Design!$C$35,100*(Design!$C$28+D51+C51*IF(ISBLANK(Design!$B$40),Constants!$C$6,Design!$B$40)/1000*(1+Constants!$C$31/100*(N51-25)))/($B51+D51-C51*O51/1000))</f>
        <v>34.319700714181188</v>
      </c>
      <c r="F51" s="158">
        <f ca="1">IF(($B51-C51*IF(ISBLANK(Design!$B$40),Constants!$C$6,Design!$B$40)/1000*(1+Constants!$C$31/100*(N51-25))-Design!$C$28)/(IF(ISBLANK(Design!$B$39),Design!$B$38,Design!$B$39)/1000000)*E51/100/(IF(ISBLANK(Design!$B$32),Design!$B$31,Design!$B$32)*1000000)&lt;0,0,($B51-C51*IF(ISBLANK(Design!$B$40),Constants!$C$6,Design!$B$40)/1000*(1+Constants!$C$31/100*(N51-25))-Design!$C$28)/(IF(ISBLANK(Design!$B$39),Design!$B$38,Design!$B$39)/1000000)*E51/100/(IF(ISBLANK(Design!$B$32),Design!$B$31,Design!$B$32)*1000000))</f>
        <v>0.60511917194996157</v>
      </c>
      <c r="G51" s="208">
        <f>B51*Constants!$C$18/1000+IF(ISBLANK(Design!$B$32),Design!$B$31,Design!$B$32)*1000000*Constants!$D$22/1000000000*(B51-Constants!$C$21)</f>
        <v>9.5340000000000022E-2</v>
      </c>
      <c r="H51" s="208">
        <f>B51*C51*(B51/(Constants!$C$23*1000000000)*IF(ISBLANK(Design!$B$32),Design!$B$31,Design!$B$32)*1000000/2+B51/(Constants!$C$24*1000000000)*IF(ISBLANK(Design!$B$32),Design!$B$31,Design!$B$32)*1000000/2)</f>
        <v>0.52902485087719309</v>
      </c>
      <c r="I51" s="208">
        <f t="shared" ca="1" si="13"/>
        <v>0.56450776956612747</v>
      </c>
      <c r="J51" s="208">
        <f>Constants!$D$22/1000000000*Constants!$C$21*IF(ISBLANK(Design!$B$32),Design!$B$31,Design!$B$32)*1000000</f>
        <v>4.9999999999999996E-2</v>
      </c>
      <c r="K51" s="208">
        <f t="shared" ca="1" si="22"/>
        <v>1.2388726204433207</v>
      </c>
      <c r="L51" s="208">
        <f t="shared" ca="1" si="17"/>
        <v>0.88921392814003508</v>
      </c>
      <c r="M51" s="209">
        <f ca="1">$A51+L51*Design!$B$19</f>
        <v>135.685193903982</v>
      </c>
      <c r="N51" s="209">
        <f ca="1">K51*Design!$C$12+A51</f>
        <v>127.1216690950729</v>
      </c>
      <c r="O51" s="209">
        <f ca="1">Constants!$D$19+Constants!$D$19*Constants!$C$20/100*(N51-25)</f>
        <v>133.9398732588858</v>
      </c>
      <c r="P51" s="208">
        <f ca="1">(1-Constants!$D$17/1000000000*Design!$B$32*1000000) * ($B51+D51-C51*O51/1000) - (D51+C51*(1+($A51-25)*Constants!$C$31/100)*IF(ISBLANK(Design!$B$40),Constants!$C$6/1000,Design!$B$40/1000))</f>
        <v>7.9611783836683205</v>
      </c>
      <c r="Q51" s="158">
        <f ca="1">IF(P51&gt;Design!$C$28,Design!$C$28,P51)</f>
        <v>3.3239005736137672</v>
      </c>
      <c r="R51" s="159">
        <f>2*Design!$D$6/3</f>
        <v>2.3333333333333335</v>
      </c>
      <c r="S51" s="159">
        <f ca="1">FORECAST(R51, OFFSET(Design!$C$15:$C$17,MATCH(R51,Design!$B$15:$B$17,1)-1,0,2), OFFSET(Design!$B$15:$B$17,MATCH(R51,Design!$B$15:$B$17,1)-1,0,2))+(AB51-25)*Design!$B$18/1000</f>
        <v>0.37510360831539674</v>
      </c>
      <c r="T51" s="225">
        <f ca="1">IF(100*(Design!$C$28+S51+R51*IF(ISBLANK(Design!$B$40),Constants!$C$6,Design!$B$40)/1000*(1+Constants!$C$31/100*(AC51-25)))/($B51+S51-R51*AD51/1000)&gt;Design!$C$35,Design!$C$35,100*(Design!$C$28+S51+R51*IF(ISBLANK(Design!$B$40),Constants!$C$6,Design!$B$40)/1000*(1+Constants!$C$31/100*(AC51-25)))/($B51+S51-R51*AD51/1000))</f>
        <v>33.392387866404853</v>
      </c>
      <c r="U51" s="160">
        <f ca="1">IF(($B51-R51*IF(ISBLANK(Design!$B$40),Constants!$C$6,Design!$B$40)/1000*(1+Constants!$C$31/100*(AC51-25))-Design!$C$28)/(IF(ISBLANK(Design!$B$39),Design!$B$38,Design!$B$39)/1000000)*T51/100/(IF(ISBLANK(Design!$B$32),Design!$B$31,Design!$B$32)*1000000)&lt;0,0,($B51-R51*IF(ISBLANK(Design!$B$40),Constants!$C$6,Design!$B$40)/1000*(1+Constants!$C$31/100*(AC51-25))-Design!$C$28)/(IF(ISBLANK(Design!$B$39),Design!$B$38,Design!$B$39)/1000000)*T51/100/(IF(ISBLANK(Design!$B$32),Design!$B$31,Design!$B$32)*1000000))</f>
        <v>0.59149300456667686</v>
      </c>
      <c r="V51" s="226">
        <f>$B51*Constants!$C$18/1000+IF(ISBLANK(Design!$B$32),Design!$B$31,Design!$B$32)*1000000*Constants!$D$22/1000000000*($B51-Constants!$C$21)</f>
        <v>9.5340000000000022E-2</v>
      </c>
      <c r="W51" s="226">
        <f>$B51*R51*($B51/(Constants!$C$23*1000000000)*IF(ISBLANK(Design!$B$32),Design!$B$31,Design!$B$32)*1000000/2+$B51/(Constants!$C$24*1000000000)*IF(ISBLANK(Design!$B$32),Design!$B$31,Design!$B$32)*1000000/2)</f>
        <v>0.35268323391812878</v>
      </c>
      <c r="X51" s="226">
        <f t="shared" ca="1" si="14"/>
        <v>0.22829864041582235</v>
      </c>
      <c r="Y51" s="226">
        <f>Constants!$D$22/1000000000*Constants!$C$21*IF(ISBLANK(Design!$B$32),Design!$B$31,Design!$B$32)*1000000</f>
        <v>4.9999999999999996E-2</v>
      </c>
      <c r="Z51" s="226">
        <f t="shared" ca="1" si="23"/>
        <v>0.72632187433395123</v>
      </c>
      <c r="AA51" s="226">
        <f t="shared" ca="1" si="19"/>
        <v>0.58297763189362528</v>
      </c>
      <c r="AB51" s="227">
        <f ca="1">$A51+AA51*Design!$B$19</f>
        <v>118.22972501793664</v>
      </c>
      <c r="AC51" s="227">
        <f ca="1">Z51*Design!$C$12+$A51</f>
        <v>109.69494372735434</v>
      </c>
      <c r="AD51" s="227">
        <f ca="1">Constants!$D$19+Constants!$D$19*Constants!$C$20/100*(AC51-25)</f>
        <v>124.90585882826051</v>
      </c>
      <c r="AE51" s="226">
        <f ca="1">(1-Constants!$D$17/1000000000*Design!$B$32*1000000) * ($B51+S51-R51*AD51/1000) - (S51+R51*(1+($A51-25)*Constants!$C$31/100)*IF(ISBLANK(Design!$B$40),Constants!$C$6/1000,Design!$B$40/1000))</f>
        <v>8.1276047443488562</v>
      </c>
      <c r="AF51" s="160">
        <f ca="1">IF(AE51&gt;Design!$C$28,Design!$C$28,AE51)</f>
        <v>3.3239005736137672</v>
      </c>
      <c r="AG51" s="161">
        <f>Design!$D$6/3</f>
        <v>1.1666666666666667</v>
      </c>
      <c r="AH51" s="161">
        <f ca="1">FORECAST(AG51, OFFSET(Design!$C$15:$C$17,MATCH(AG51,Design!$B$15:$B$17,1)-1,0,2), OFFSET(Design!$B$15:$B$17,MATCH(AG51,Design!$B$15:$B$17,1)-1,0,2))+(AQ51-25)*Design!$B$18/1000</f>
        <v>0.32075343519967914</v>
      </c>
      <c r="AI51" s="239">
        <f ca="1">IF(100*(Design!$C$28+AH51+AG51*IF(ISBLANK(Design!$B$40),Constants!$C$6,Design!$B$40)/1000*(1+Constants!$C$31/100*(AR51-25)))/($B51+AH51-AG51*AS51/1000)&gt;Design!$C$35,Design!$C$35,100*(Design!$C$28+AH51+AG51*IF(ISBLANK(Design!$B$40),Constants!$C$6,Design!$B$40)/1000*(1+Constants!$C$31/100*(AR51-25)))/($B51+AH51-AG51*AS51/1000))</f>
        <v>32.340928277377323</v>
      </c>
      <c r="AJ51" s="162">
        <f ca="1">IF(($B51-AG51*IF(ISBLANK(Design!$B$40),Constants!$C$6,Design!$B$40)/1000*(1+Constants!$C$31/100*(AR51-25))-Design!$C$28)/(IF(ISBLANK(Design!$B$39),Design!$B$38,Design!$B$39)/1000000)*AI51/100/(IF(ISBLANK(Design!$B$32),Design!$B$31,Design!$B$32)*1000000)&lt;0,0,($B51-AG51*IF(ISBLANK(Design!$B$40),Constants!$C$6,Design!$B$40)/1000*(1+Constants!$C$31/100*(AR51-25))-Design!$C$28)/(IF(ISBLANK(Design!$B$39),Design!$B$38,Design!$B$39)/1000000)*AI51/100/(IF(ISBLANK(Design!$B$32),Design!$B$31,Design!$B$32)*1000000))</f>
        <v>0.57523448792498699</v>
      </c>
      <c r="AK51" s="240">
        <f>$B51*Constants!$C$18/1000+IF(ISBLANK(Design!$B$32),Design!$B$31,Design!$B$32)*1000000*Constants!$D$22/1000000000*($B51-Constants!$C$21)</f>
        <v>9.5340000000000022E-2</v>
      </c>
      <c r="AL51" s="240">
        <f>$B51*AG51*($B51/(Constants!$C$23*1000000000)*IF(ISBLANK(Design!$B$32),Design!$B$31,Design!$B$32)*1000000/2+$B51/(Constants!$C$24*1000000000)*IF(ISBLANK(Design!$B$32),Design!$B$31,Design!$B$32)*1000000/2)</f>
        <v>0.17634161695906439</v>
      </c>
      <c r="AM51" s="240">
        <f t="shared" ca="1" si="15"/>
        <v>5.3315900725043476E-2</v>
      </c>
      <c r="AN51" s="240">
        <f>Constants!$D$22/1000000000*Constants!$C$21*IF(ISBLANK(Design!$B$32),Design!$B$31,Design!$B$32)*1000000</f>
        <v>4.9999999999999996E-2</v>
      </c>
      <c r="AO51" s="240">
        <f t="shared" ca="1" si="24"/>
        <v>0.37499751768410788</v>
      </c>
      <c r="AP51" s="240">
        <f t="shared" ca="1" si="21"/>
        <v>0.25318859623694817</v>
      </c>
      <c r="AQ51" s="241">
        <f ca="1">$A51+AP51*Design!$B$19</f>
        <v>99.431749985506045</v>
      </c>
      <c r="AR51" s="241">
        <f ca="1">AO51*Design!$C$12+$A51</f>
        <v>97.749915601259673</v>
      </c>
      <c r="AS51" s="241">
        <f ca="1">Constants!$D$19+Constants!$D$19*Constants!$C$20/100*(AR51-25)</f>
        <v>118.71355624769302</v>
      </c>
      <c r="AT51" s="240">
        <f ca="1">(1-Constants!$D$17/1000000000*Design!$B$32*1000000) * ($B51+AH51-AG51*AS51/1000) - (AH51+AG51*(1+($A51-25)*Constants!$C$31/100)*IF(ISBLANK(Design!$B$40),Constants!$C$6/1000,Design!$B$40/1000))</f>
        <v>8.2857244890124573</v>
      </c>
      <c r="AU51" s="162">
        <f ca="1">IF(AT51&gt;Design!$C$28,Design!$C$28,AT51)</f>
        <v>3.3239005736137672</v>
      </c>
    </row>
    <row r="52" spans="1:47" ht="12.75" customHeight="1">
      <c r="A52" s="155">
        <f>Design!$D$13</f>
        <v>85</v>
      </c>
      <c r="B52" s="156">
        <f t="shared" si="12"/>
        <v>10.975000000000001</v>
      </c>
      <c r="C52" s="157">
        <f>Design!$D$6</f>
        <v>3.5</v>
      </c>
      <c r="D52" s="157">
        <f ca="1">FORECAST(C52, OFFSET(Design!$C$15:$C$17,MATCH(C52,Design!$B$15:$B$17,1)-1,0,2), OFFSET(Design!$B$15:$B$17,MATCH(C52,Design!$B$15:$B$17,1)-1,0,2))+(M52-25)*Design!$B$18/1000</f>
        <v>0.3872554105813929</v>
      </c>
      <c r="E52" s="216">
        <f ca="1">IF(100*(Design!$C$28+D52+C52*IF(ISBLANK(Design!$B$40),Constants!$C$6,Design!$B$40)/1000*(1+Constants!$C$31/100*(N52-25)))/($B52+D52-C52*O52/1000)&gt;Design!$C$35,Design!$C$35,100*(Design!$C$28+D52+C52*IF(ISBLANK(Design!$B$40),Constants!$C$6,Design!$B$40)/1000*(1+Constants!$C$31/100*(N52-25)))/($B52+D52-C52*O52/1000))</f>
        <v>34.964736022339018</v>
      </c>
      <c r="F52" s="158">
        <f ca="1">IF(($B52-C52*IF(ISBLANK(Design!$B$40),Constants!$C$6,Design!$B$40)/1000*(1+Constants!$C$31/100*(N52-25))-Design!$C$28)/(IF(ISBLANK(Design!$B$39),Design!$B$38,Design!$B$39)/1000000)*E52/100/(IF(ISBLANK(Design!$B$32),Design!$B$31,Design!$B$32)*1000000)&lt;0,0,($B52-C52*IF(ISBLANK(Design!$B$40),Constants!$C$6,Design!$B$40)/1000*(1+Constants!$C$31/100*(N52-25))-Design!$C$28)/(IF(ISBLANK(Design!$B$39),Design!$B$38,Design!$B$39)/1000000)*E52/100/(IF(ISBLANK(Design!$B$32),Design!$B$31,Design!$B$32)*1000000))</f>
        <v>0.60021102478313582</v>
      </c>
      <c r="G52" s="208">
        <f>B52*Constants!$C$18/1000+IF(ISBLANK(Design!$B$32),Design!$B$31,Design!$B$32)*1000000*Constants!$D$22/1000000000*(B52-Constants!$C$21)</f>
        <v>9.2675000000000021E-2</v>
      </c>
      <c r="H52" s="208">
        <f>B52*C52*(B52/(Constants!$C$23*1000000000)*IF(ISBLANK(Design!$B$32),Design!$B$31,Design!$B$32)*1000000/2+B52/(Constants!$C$24*1000000000)*IF(ISBLANK(Design!$B$32),Design!$B$31,Design!$B$32)*1000000/2)</f>
        <v>0.5098019873903511</v>
      </c>
      <c r="I52" s="208">
        <f t="shared" ca="1" si="13"/>
        <v>0.57416927415005148</v>
      </c>
      <c r="J52" s="208">
        <f>Constants!$D$22/1000000000*Constants!$C$21*IF(ISBLANK(Design!$B$32),Design!$B$31,Design!$B$32)*1000000</f>
        <v>4.9999999999999996E-2</v>
      </c>
      <c r="K52" s="208">
        <f t="shared" ca="1" si="22"/>
        <v>1.2266462615404026</v>
      </c>
      <c r="L52" s="208">
        <f t="shared" ca="1" si="17"/>
        <v>0.88148402488784316</v>
      </c>
      <c r="M52" s="209">
        <f ca="1">$A52+L52*Design!$B$19</f>
        <v>135.24458941860706</v>
      </c>
      <c r="N52" s="209">
        <f ca="1">K52*Design!$C$12+A52</f>
        <v>126.70597289237369</v>
      </c>
      <c r="O52" s="209">
        <f ca="1">Constants!$D$19+Constants!$D$19*Constants!$C$20/100*(N52-25)</f>
        <v>133.72437634740652</v>
      </c>
      <c r="P52" s="208">
        <f ca="1">(1-Constants!$D$17/1000000000*Design!$B$32*1000000) * ($B52+D52-C52*O52/1000) - (D52+C52*(1+($A52-25)*Constants!$C$31/100)*IF(ISBLANK(Design!$B$40),Constants!$C$6/1000,Design!$B$40/1000))</f>
        <v>7.8058458603763654</v>
      </c>
      <c r="Q52" s="158">
        <f ca="1">IF(P52&gt;Design!$C$28,Design!$C$28,P52)</f>
        <v>3.3239005736137672</v>
      </c>
      <c r="R52" s="159">
        <f>2*Design!$D$6/3</f>
        <v>2.3333333333333335</v>
      </c>
      <c r="S52" s="159">
        <f ca="1">FORECAST(R52, OFFSET(Design!$C$15:$C$17,MATCH(R52,Design!$B$15:$B$17,1)-1,0,2), OFFSET(Design!$B$15:$B$17,MATCH(R52,Design!$B$15:$B$17,1)-1,0,2))+(AB52-25)*Design!$B$18/1000</f>
        <v>0.37538730809891496</v>
      </c>
      <c r="T52" s="225">
        <f ca="1">IF(100*(Design!$C$28+S52+R52*IF(ISBLANK(Design!$B$40),Constants!$C$6,Design!$B$40)/1000*(1+Constants!$C$31/100*(AC52-25)))/($B52+S52-R52*AD52/1000)&gt;Design!$C$35,Design!$C$35,100*(Design!$C$28+S52+R52*IF(ISBLANK(Design!$B$40),Constants!$C$6,Design!$B$40)/1000*(1+Constants!$C$31/100*(AC52-25)))/($B52+S52-R52*AD52/1000))</f>
        <v>34.010961451716973</v>
      </c>
      <c r="U52" s="160">
        <f ca="1">IF(($B52-R52*IF(ISBLANK(Design!$B$40),Constants!$C$6,Design!$B$40)/1000*(1+Constants!$C$31/100*(AC52-25))-Design!$C$28)/(IF(ISBLANK(Design!$B$39),Design!$B$38,Design!$B$39)/1000000)*T52/100/(IF(ISBLANK(Design!$B$32),Design!$B$31,Design!$B$32)*1000000)&lt;0,0,($B52-R52*IF(ISBLANK(Design!$B$40),Constants!$C$6,Design!$B$40)/1000*(1+Constants!$C$31/100*(AC52-25))-Design!$C$28)/(IF(ISBLANK(Design!$B$39),Design!$B$38,Design!$B$39)/1000000)*T52/100/(IF(ISBLANK(Design!$B$32),Design!$B$31,Design!$B$32)*1000000))</f>
        <v>0.58660965212677929</v>
      </c>
      <c r="V52" s="226">
        <f>$B52*Constants!$C$18/1000+IF(ISBLANK(Design!$B$32),Design!$B$31,Design!$B$32)*1000000*Constants!$D$22/1000000000*($B52-Constants!$C$21)</f>
        <v>9.2675000000000021E-2</v>
      </c>
      <c r="W52" s="226">
        <f>$B52*R52*($B52/(Constants!$C$23*1000000000)*IF(ISBLANK(Design!$B$32),Design!$B$31,Design!$B$32)*1000000/2+$B52/(Constants!$C$24*1000000000)*IF(ISBLANK(Design!$B$32),Design!$B$31,Design!$B$32)*1000000/2)</f>
        <v>0.3398679915935674</v>
      </c>
      <c r="X52" s="226">
        <f t="shared" ca="1" si="14"/>
        <v>0.23212501036549674</v>
      </c>
      <c r="Y52" s="226">
        <f>Constants!$D$22/1000000000*Constants!$C$21*IF(ISBLANK(Design!$B$32),Design!$B$31,Design!$B$32)*1000000</f>
        <v>4.9999999999999996E-2</v>
      </c>
      <c r="Z52" s="226">
        <f t="shared" ca="1" si="23"/>
        <v>0.71466800195906421</v>
      </c>
      <c r="AA52" s="226">
        <f t="shared" ca="1" si="19"/>
        <v>0.5780004427090949</v>
      </c>
      <c r="AB52" s="227">
        <f ca="1">$A52+AA52*Design!$B$19</f>
        <v>117.94602523441841</v>
      </c>
      <c r="AC52" s="227">
        <f ca="1">Z52*Design!$C$12+$A52</f>
        <v>109.29871206660818</v>
      </c>
      <c r="AD52" s="227">
        <f ca="1">Constants!$D$19+Constants!$D$19*Constants!$C$20/100*(AC52-25)</f>
        <v>124.70045233532969</v>
      </c>
      <c r="AE52" s="226">
        <f ca="1">(1-Constants!$D$17/1000000000*Design!$B$32*1000000) * ($B52+S52-R52*AD52/1000) - (S52+R52*(1+($A52-25)*Constants!$C$31/100)*IF(ISBLANK(Design!$B$40),Constants!$C$6/1000,Design!$B$40/1000))</f>
        <v>7.9721009105816094</v>
      </c>
      <c r="AF52" s="160">
        <f ca="1">IF(AE52&gt;Design!$C$28,Design!$C$28,AE52)</f>
        <v>3.3239005736137672</v>
      </c>
      <c r="AG52" s="161">
        <f>Design!$D$6/3</f>
        <v>1.1666666666666667</v>
      </c>
      <c r="AH52" s="161">
        <f ca="1">FORECAST(AG52, OFFSET(Design!$C$15:$C$17,MATCH(AG52,Design!$B$15:$B$17,1)-1,0,2), OFFSET(Design!$B$15:$B$17,MATCH(AG52,Design!$B$15:$B$17,1)-1,0,2))+(AQ52-25)*Design!$B$18/1000</f>
        <v>0.32087477297766454</v>
      </c>
      <c r="AI52" s="239">
        <f ca="1">IF(100*(Design!$C$28+AH52+AG52*IF(ISBLANK(Design!$B$40),Constants!$C$6,Design!$B$40)/1000*(1+Constants!$C$31/100*(AR52-25)))/($B52+AH52-AG52*AS52/1000)&gt;Design!$C$35,Design!$C$35,100*(Design!$C$28+AH52+AG52*IF(ISBLANK(Design!$B$40),Constants!$C$6,Design!$B$40)/1000*(1+Constants!$C$31/100*(AR52-25)))/($B52+AH52-AG52*AS52/1000))</f>
        <v>32.93515518930348</v>
      </c>
      <c r="AJ52" s="162">
        <f ca="1">IF(($B52-AG52*IF(ISBLANK(Design!$B$40),Constants!$C$6,Design!$B$40)/1000*(1+Constants!$C$31/100*(AR52-25))-Design!$C$28)/(IF(ISBLANK(Design!$B$39),Design!$B$38,Design!$B$39)/1000000)*AI52/100/(IF(ISBLANK(Design!$B$32),Design!$B$31,Design!$B$32)*1000000)&lt;0,0,($B52-AG52*IF(ISBLANK(Design!$B$40),Constants!$C$6,Design!$B$40)/1000*(1+Constants!$C$31/100*(AR52-25))-Design!$C$28)/(IF(ISBLANK(Design!$B$39),Design!$B$38,Design!$B$39)/1000000)*AI52/100/(IF(ISBLANK(Design!$B$32),Design!$B$31,Design!$B$32)*1000000))</f>
        <v>0.57046087209408269</v>
      </c>
      <c r="AK52" s="240">
        <f>$B52*Constants!$C$18/1000+IF(ISBLANK(Design!$B$32),Design!$B$31,Design!$B$32)*1000000*Constants!$D$22/1000000000*($B52-Constants!$C$21)</f>
        <v>9.2675000000000021E-2</v>
      </c>
      <c r="AL52" s="240">
        <f>$B52*AG52*($B52/(Constants!$C$23*1000000000)*IF(ISBLANK(Design!$B$32),Design!$B$31,Design!$B$32)*1000000/2+$B52/(Constants!$C$24*1000000000)*IF(ISBLANK(Design!$B$32),Design!$B$31,Design!$B$32)*1000000/2)</f>
        <v>0.1699339957967837</v>
      </c>
      <c r="AM52" s="240">
        <f t="shared" ca="1" si="15"/>
        <v>5.4211805132842253E-2</v>
      </c>
      <c r="AN52" s="240">
        <f>Constants!$D$22/1000000000*Constants!$C$21*IF(ISBLANK(Design!$B$32),Design!$B$31,Design!$B$32)*1000000</f>
        <v>4.9999999999999996E-2</v>
      </c>
      <c r="AO52" s="240">
        <f t="shared" ca="1" si="24"/>
        <v>0.36682080092962593</v>
      </c>
      <c r="AP52" s="240">
        <f t="shared" ca="1" si="21"/>
        <v>0.25105986328983643</v>
      </c>
      <c r="AQ52" s="241">
        <f ca="1">$A52+AP52*Design!$B$19</f>
        <v>99.31041220752067</v>
      </c>
      <c r="AR52" s="241">
        <f ca="1">AO52*Design!$C$12+$A52</f>
        <v>97.471907231607275</v>
      </c>
      <c r="AS52" s="241">
        <f ca="1">Constants!$D$19+Constants!$D$19*Constants!$C$20/100*(AR52-25)</f>
        <v>118.56943670886523</v>
      </c>
      <c r="AT52" s="240">
        <f ca="1">(1-Constants!$D$17/1000000000*Design!$B$32*1000000) * ($B52+AH52-AG52*AS52/1000) - (AH52+AG52*(1+($A52-25)*Constants!$C$31/100)*IF(ISBLANK(Design!$B$40),Constants!$C$6/1000,Design!$B$40/1000))</f>
        <v>8.1300231539368344</v>
      </c>
      <c r="AU52" s="162">
        <f ca="1">IF(AT52&gt;Design!$C$28,Design!$C$28,AT52)</f>
        <v>3.3239005736137672</v>
      </c>
    </row>
    <row r="53" spans="1:47" ht="12.75" customHeight="1">
      <c r="A53" s="155">
        <f>Design!$D$13</f>
        <v>85</v>
      </c>
      <c r="B53" s="156">
        <f t="shared" si="12"/>
        <v>10.770000000000001</v>
      </c>
      <c r="C53" s="157">
        <f>Design!$D$6</f>
        <v>3.5</v>
      </c>
      <c r="D53" s="157">
        <f ca="1">FORECAST(C53, OFFSET(Design!$C$15:$C$17,MATCH(C53,Design!$B$15:$B$17,1)-1,0,2), OFFSET(Design!$B$15:$B$17,MATCH(C53,Design!$B$15:$B$17,1)-1,0,2))+(M53-25)*Design!$B$18/1000</f>
        <v>0.38771411121788485</v>
      </c>
      <c r="E53" s="216">
        <f ca="1">IF(100*(Design!$C$28+D53+C53*IF(ISBLANK(Design!$B$40),Constants!$C$6,Design!$B$40)/1000*(1+Constants!$C$31/100*(N53-25)))/($B53+D53-C53*O53/1000)&gt;Design!$C$35,Design!$C$35,100*(Design!$C$28+D53+C53*IF(ISBLANK(Design!$B$40),Constants!$C$6,Design!$B$40)/1000*(1+Constants!$C$31/100*(N53-25)))/($B53+D53-C53*O53/1000))</f>
        <v>35.634706086721408</v>
      </c>
      <c r="F53" s="158">
        <f ca="1">IF(($B53-C53*IF(ISBLANK(Design!$B$40),Constants!$C$6,Design!$B$40)/1000*(1+Constants!$C$31/100*(N53-25))-Design!$C$28)/(IF(ISBLANK(Design!$B$39),Design!$B$38,Design!$B$39)/1000000)*E53/100/(IF(ISBLANK(Design!$B$32),Design!$B$31,Design!$B$32)*1000000)&lt;0,0,($B53-C53*IF(ISBLANK(Design!$B$40),Constants!$C$6,Design!$B$40)/1000*(1+Constants!$C$31/100*(N53-25))-Design!$C$28)/(IF(ISBLANK(Design!$B$39),Design!$B$38,Design!$B$39)/1000000)*E53/100/(IF(ISBLANK(Design!$B$32),Design!$B$31,Design!$B$32)*1000000))</f>
        <v>0.59511798268218985</v>
      </c>
      <c r="G53" s="208">
        <f>B53*Constants!$C$18/1000+IF(ISBLANK(Design!$B$32),Design!$B$31,Design!$B$32)*1000000*Constants!$D$22/1000000000*(B53-Constants!$C$21)</f>
        <v>9.0010000000000021E-2</v>
      </c>
      <c r="H53" s="208">
        <f>B53*C53*(B53/(Constants!$C$23*1000000000)*IF(ISBLANK(Design!$B$32),Design!$B$31,Design!$B$32)*1000000/2+B53/(Constants!$C$24*1000000000)*IF(ISBLANK(Design!$B$32),Design!$B$31,Design!$B$32)*1000000/2)</f>
        <v>0.49093486184210539</v>
      </c>
      <c r="I53" s="208">
        <f t="shared" ca="1" si="13"/>
        <v>0.58426488582415326</v>
      </c>
      <c r="J53" s="208">
        <f>Constants!$D$22/1000000000*Constants!$C$21*IF(ISBLANK(Design!$B$32),Design!$B$31,Design!$B$32)*1000000</f>
        <v>4.9999999999999996E-2</v>
      </c>
      <c r="K53" s="208">
        <f t="shared" ca="1" si="22"/>
        <v>1.2152097476662587</v>
      </c>
      <c r="L53" s="208">
        <f t="shared" ca="1" si="17"/>
        <v>0.87343664530026588</v>
      </c>
      <c r="M53" s="209">
        <f ca="1">$A53+L53*Design!$B$19</f>
        <v>134.78588878211517</v>
      </c>
      <c r="N53" s="209">
        <f ca="1">K53*Design!$C$12+A53</f>
        <v>126.3171314206528</v>
      </c>
      <c r="O53" s="209">
        <f ca="1">Constants!$D$19+Constants!$D$19*Constants!$C$20/100*(N53-25)</f>
        <v>133.52280092846641</v>
      </c>
      <c r="P53" s="208">
        <f ca="1">(1-Constants!$D$17/1000000000*Design!$B$32*1000000) * ($B53+D53-C53*O53/1000) - (D53+C53*(1+($A53-25)*Constants!$C$31/100)*IF(ISBLANK(Design!$B$40),Constants!$C$6/1000,Design!$B$40/1000))</f>
        <v>7.6504719628379894</v>
      </c>
      <c r="Q53" s="158">
        <f ca="1">IF(P53&gt;Design!$C$28,Design!$C$28,P53)</f>
        <v>3.3239005736137672</v>
      </c>
      <c r="R53" s="159">
        <f>2*Design!$D$6/3</f>
        <v>2.3333333333333335</v>
      </c>
      <c r="S53" s="159">
        <f ca="1">FORECAST(R53, OFFSET(Design!$C$15:$C$17,MATCH(R53,Design!$B$15:$B$17,1)-1,0,2), OFFSET(Design!$B$15:$B$17,MATCH(R53,Design!$B$15:$B$17,1)-1,0,2))+(AB53-25)*Design!$B$18/1000</f>
        <v>0.37568220258287477</v>
      </c>
      <c r="T53" s="225">
        <f ca="1">IF(100*(Design!$C$28+S53+R53*IF(ISBLANK(Design!$B$40),Constants!$C$6,Design!$B$40)/1000*(1+Constants!$C$31/100*(AC53-25)))/($B53+S53-R53*AD53/1000)&gt;Design!$C$35,Design!$C$35,100*(Design!$C$28+S53+R53*IF(ISBLANK(Design!$B$40),Constants!$C$6,Design!$B$40)/1000*(1+Constants!$C$31/100*(AC53-25)))/($B53+S53-R53*AD53/1000))</f>
        <v>34.652953480408158</v>
      </c>
      <c r="U53" s="160">
        <f ca="1">IF(($B53-R53*IF(ISBLANK(Design!$B$40),Constants!$C$6,Design!$B$40)/1000*(1+Constants!$C$31/100*(AC53-25))-Design!$C$28)/(IF(ISBLANK(Design!$B$39),Design!$B$38,Design!$B$39)/1000000)*T53/100/(IF(ISBLANK(Design!$B$32),Design!$B$31,Design!$B$32)*1000000)&lt;0,0,($B53-R53*IF(ISBLANK(Design!$B$40),Constants!$C$6,Design!$B$40)/1000*(1+Constants!$C$31/100*(AC53-25))-Design!$C$28)/(IF(ISBLANK(Design!$B$39),Design!$B$38,Design!$B$39)/1000000)*T53/100/(IF(ISBLANK(Design!$B$32),Design!$B$31,Design!$B$32)*1000000))</f>
        <v>0.58154291850242235</v>
      </c>
      <c r="V53" s="226">
        <f>$B53*Constants!$C$18/1000+IF(ISBLANK(Design!$B$32),Design!$B$31,Design!$B$32)*1000000*Constants!$D$22/1000000000*($B53-Constants!$C$21)</f>
        <v>9.0010000000000021E-2</v>
      </c>
      <c r="W53" s="226">
        <f>$B53*R53*($B53/(Constants!$C$23*1000000000)*IF(ISBLANK(Design!$B$32),Design!$B$31,Design!$B$32)*1000000/2+$B53/(Constants!$C$24*1000000000)*IF(ISBLANK(Design!$B$32),Design!$B$31,Design!$B$32)*1000000/2)</f>
        <v>0.32728990789473694</v>
      </c>
      <c r="X53" s="226">
        <f t="shared" ca="1" si="14"/>
        <v>0.23610895192653067</v>
      </c>
      <c r="Y53" s="226">
        <f>Constants!$D$22/1000000000*Constants!$C$21*IF(ISBLANK(Design!$B$32),Design!$B$31,Design!$B$32)*1000000</f>
        <v>4.9999999999999996E-2</v>
      </c>
      <c r="Z53" s="226">
        <f t="shared" ca="1" si="23"/>
        <v>0.70340885982126766</v>
      </c>
      <c r="AA53" s="226">
        <f t="shared" ca="1" si="19"/>
        <v>0.57282685527120303</v>
      </c>
      <c r="AB53" s="227">
        <f ca="1">$A53+AA53*Design!$B$19</f>
        <v>117.65113075045858</v>
      </c>
      <c r="AC53" s="227">
        <f ca="1">Z53*Design!$C$12+$A53</f>
        <v>108.91590123392311</v>
      </c>
      <c r="AD53" s="227">
        <f ca="1">Constants!$D$19+Constants!$D$19*Constants!$C$20/100*(AC53-25)</f>
        <v>124.50200319966575</v>
      </c>
      <c r="AE53" s="226">
        <f ca="1">(1-Constants!$D$17/1000000000*Design!$B$32*1000000) * ($B53+S53-R53*AD53/1000) - (S53+R53*(1+($A53-25)*Constants!$C$31/100)*IF(ISBLANK(Design!$B$40),Constants!$C$6/1000,Design!$B$40/1000))</f>
        <v>7.8165820523727039</v>
      </c>
      <c r="AF53" s="160">
        <f ca="1">IF(AE53&gt;Design!$C$28,Design!$C$28,AE53)</f>
        <v>3.3239005736137672</v>
      </c>
      <c r="AG53" s="161">
        <f>Design!$D$6/3</f>
        <v>1.1666666666666667</v>
      </c>
      <c r="AH53" s="161">
        <f ca="1">FORECAST(AG53, OFFSET(Design!$C$15:$C$17,MATCH(AG53,Design!$B$15:$B$17,1)-1,0,2), OFFSET(Design!$B$15:$B$17,MATCH(AG53,Design!$B$15:$B$17,1)-1,0,2))+(AQ53-25)*Design!$B$18/1000</f>
        <v>0.3210007520742974</v>
      </c>
      <c r="AI53" s="239">
        <f ca="1">IF(100*(Design!$C$28+AH53+AG53*IF(ISBLANK(Design!$B$40),Constants!$C$6,Design!$B$40)/1000*(1+Constants!$C$31/100*(AR53-25)))/($B53+AH53-AG53*AS53/1000)&gt;Design!$C$35,Design!$C$35,100*(Design!$C$28+AH53+AG53*IF(ISBLANK(Design!$B$40),Constants!$C$6,Design!$B$40)/1000*(1+Constants!$C$31/100*(AR53-25)))/($B53+AH53-AG53*AS53/1000))</f>
        <v>33.551636670614769</v>
      </c>
      <c r="AJ53" s="162">
        <f ca="1">IF(($B53-AG53*IF(ISBLANK(Design!$B$40),Constants!$C$6,Design!$B$40)/1000*(1+Constants!$C$31/100*(AR53-25))-Design!$C$28)/(IF(ISBLANK(Design!$B$39),Design!$B$38,Design!$B$39)/1000000)*AI53/100/(IF(ISBLANK(Design!$B$32),Design!$B$31,Design!$B$32)*1000000)&lt;0,0,($B53-AG53*IF(ISBLANK(Design!$B$40),Constants!$C$6,Design!$B$40)/1000*(1+Constants!$C$31/100*(AR53-25))-Design!$C$28)/(IF(ISBLANK(Design!$B$39),Design!$B$38,Design!$B$39)/1000000)*AI53/100/(IF(ISBLANK(Design!$B$32),Design!$B$31,Design!$B$32)*1000000))</f>
        <v>0.56550867535776783</v>
      </c>
      <c r="AK53" s="240">
        <f>$B53*Constants!$C$18/1000+IF(ISBLANK(Design!$B$32),Design!$B$31,Design!$B$32)*1000000*Constants!$D$22/1000000000*($B53-Constants!$C$21)</f>
        <v>9.0010000000000021E-2</v>
      </c>
      <c r="AL53" s="240">
        <f>$B53*AG53*($B53/(Constants!$C$23*1000000000)*IF(ISBLANK(Design!$B$32),Design!$B$31,Design!$B$32)*1000000/2+$B53/(Constants!$C$24*1000000000)*IF(ISBLANK(Design!$B$32),Design!$B$31,Design!$B$32)*1000000/2)</f>
        <v>0.16364495394736847</v>
      </c>
      <c r="AM53" s="240">
        <f t="shared" ca="1" si="15"/>
        <v>5.5142044629642069E-2</v>
      </c>
      <c r="AN53" s="240">
        <f>Constants!$D$22/1000000000*Constants!$C$21*IF(ISBLANK(Design!$B$32),Design!$B$31,Design!$B$32)*1000000</f>
        <v>4.9999999999999996E-2</v>
      </c>
      <c r="AO53" s="240">
        <f t="shared" ca="1" si="24"/>
        <v>0.35879699857701053</v>
      </c>
      <c r="AP53" s="240">
        <f t="shared" ca="1" si="21"/>
        <v>0.24884970369978626</v>
      </c>
      <c r="AQ53" s="241">
        <f ca="1">$A53+AP53*Design!$B$19</f>
        <v>99.184433110887824</v>
      </c>
      <c r="AR53" s="241">
        <f ca="1">AO53*Design!$C$12+$A53</f>
        <v>97.199097951618356</v>
      </c>
      <c r="AS53" s="241">
        <f ca="1">Constants!$D$19+Constants!$D$19*Constants!$C$20/100*(AR53-25)</f>
        <v>118.42801237811896</v>
      </c>
      <c r="AT53" s="240">
        <f ca="1">(1-Constants!$D$17/1000000000*Design!$B$32*1000000) * ($B53+AH53-AG53*AS53/1000) - (AH53+AG53*(1+($A53-25)*Constants!$C$31/100)*IF(ISBLANK(Design!$B$40),Constants!$C$6/1000,Design!$B$40/1000))</f>
        <v>7.974318315193571</v>
      </c>
      <c r="AU53" s="162">
        <f ca="1">IF(AT53&gt;Design!$C$28,Design!$C$28,AT53)</f>
        <v>3.3239005736137672</v>
      </c>
    </row>
    <row r="54" spans="1:47" ht="12.75" customHeight="1">
      <c r="A54" s="155">
        <f>Design!$D$13</f>
        <v>85</v>
      </c>
      <c r="B54" s="156">
        <f t="shared" si="12"/>
        <v>10.565000000000001</v>
      </c>
      <c r="C54" s="157">
        <f>Design!$D$6</f>
        <v>3.5</v>
      </c>
      <c r="D54" s="157">
        <f ca="1">FORECAST(C54, OFFSET(Design!$C$15:$C$17,MATCH(C54,Design!$B$15:$B$17,1)-1,0,2), OFFSET(Design!$B$15:$B$17,MATCH(C54,Design!$B$15:$B$17,1)-1,0,2))+(M54-25)*Design!$B$18/1000</f>
        <v>0.3881920468547993</v>
      </c>
      <c r="E54" s="216">
        <f ca="1">IF(100*(Design!$C$28+D54+C54*IF(ISBLANK(Design!$B$40),Constants!$C$6,Design!$B$40)/1000*(1+Constants!$C$31/100*(N54-25)))/($B54+D54-C54*O54/1000)&gt;Design!$C$35,Design!$C$35,100*(Design!$C$28+D54+C54*IF(ISBLANK(Design!$B$40),Constants!$C$6,Design!$B$40)/1000*(1+Constants!$C$31/100*(N54-25)))/($B54+D54-C54*O54/1000))</f>
        <v>36.331086152277528</v>
      </c>
      <c r="F54" s="158">
        <f ca="1">IF(($B54-C54*IF(ISBLANK(Design!$B$40),Constants!$C$6,Design!$B$40)/1000*(1+Constants!$C$31/100*(N54-25))-Design!$C$28)/(IF(ISBLANK(Design!$B$39),Design!$B$38,Design!$B$39)/1000000)*E54/100/(IF(ISBLANK(Design!$B$32),Design!$B$31,Design!$B$32)*1000000)&lt;0,0,($B54-C54*IF(ISBLANK(Design!$B$40),Constants!$C$6,Design!$B$40)/1000*(1+Constants!$C$31/100*(N54-25))-Design!$C$28)/(IF(ISBLANK(Design!$B$39),Design!$B$38,Design!$B$39)/1000000)*E54/100/(IF(ISBLANK(Design!$B$32),Design!$B$31,Design!$B$32)*1000000))</f>
        <v>0.58982910697898983</v>
      </c>
      <c r="G54" s="208">
        <f>B54*Constants!$C$18/1000+IF(ISBLANK(Design!$B$32),Design!$B$31,Design!$B$32)*1000000*Constants!$D$22/1000000000*(B54-Constants!$C$21)</f>
        <v>8.7345000000000006E-2</v>
      </c>
      <c r="H54" s="208">
        <f>B54*C54*(B54/(Constants!$C$23*1000000000)*IF(ISBLANK(Design!$B$32),Design!$B$31,Design!$B$32)*1000000/2+B54/(Constants!$C$24*1000000000)*IF(ISBLANK(Design!$B$32),Design!$B$31,Design!$B$32)*1000000/2)</f>
        <v>0.47242347423245623</v>
      </c>
      <c r="I54" s="208">
        <f t="shared" ca="1" si="13"/>
        <v>0.59482240947097198</v>
      </c>
      <c r="J54" s="208">
        <f>Constants!$D$22/1000000000*Constants!$C$21*IF(ISBLANK(Design!$B$32),Design!$B$31,Design!$B$32)*1000000</f>
        <v>4.9999999999999996E-2</v>
      </c>
      <c r="K54" s="208">
        <f t="shared" ca="1" si="22"/>
        <v>1.2045908837034283</v>
      </c>
      <c r="L54" s="208">
        <f t="shared" ca="1" si="17"/>
        <v>0.86505180956492411</v>
      </c>
      <c r="M54" s="209">
        <f ca="1">$A54+L54*Design!$B$19</f>
        <v>134.30795314520068</v>
      </c>
      <c r="N54" s="209">
        <f ca="1">K54*Design!$C$12+A54</f>
        <v>125.95609004591657</v>
      </c>
      <c r="O54" s="209">
        <f ca="1">Constants!$D$19+Constants!$D$19*Constants!$C$20/100*(N54-25)</f>
        <v>133.33563707980315</v>
      </c>
      <c r="P54" s="208">
        <f ca="1">(1-Constants!$D$17/1000000000*Design!$B$32*1000000) * ($B54+D54-C54*O54/1000) - (D54+C54*(1+($A54-25)*Constants!$C$31/100)*IF(ISBLANK(Design!$B$40),Constants!$C$6/1000,Design!$B$40/1000))</f>
        <v>7.4950551141225725</v>
      </c>
      <c r="Q54" s="158">
        <f ca="1">IF(P54&gt;Design!$C$28,Design!$C$28,P54)</f>
        <v>3.3239005736137672</v>
      </c>
      <c r="R54" s="159">
        <f>2*Design!$D$6/3</f>
        <v>2.3333333333333335</v>
      </c>
      <c r="S54" s="159">
        <f ca="1">FORECAST(R54, OFFSET(Design!$C$15:$C$17,MATCH(R54,Design!$B$15:$B$17,1)-1,0,2), OFFSET(Design!$B$15:$B$17,MATCH(R54,Design!$B$15:$B$17,1)-1,0,2))+(AB54-25)*Design!$B$18/1000</f>
        <v>0.3759889670260701</v>
      </c>
      <c r="T54" s="225">
        <f ca="1">IF(100*(Design!$C$28+S54+R54*IF(ISBLANK(Design!$B$40),Constants!$C$6,Design!$B$40)/1000*(1+Constants!$C$31/100*(AC54-25)))/($B54+S54-R54*AD54/1000)&gt;Design!$C$35,Design!$C$35,100*(Design!$C$28+S54+R54*IF(ISBLANK(Design!$B$40),Constants!$C$6,Design!$B$40)/1000*(1+Constants!$C$31/100*(AC54-25)))/($B54+S54-R54*AD54/1000))</f>
        <v>35.319718012390695</v>
      </c>
      <c r="U54" s="160">
        <f ca="1">IF(($B54-R54*IF(ISBLANK(Design!$B$40),Constants!$C$6,Design!$B$40)/1000*(1+Constants!$C$31/100*(AC54-25))-Design!$C$28)/(IF(ISBLANK(Design!$B$39),Design!$B$38,Design!$B$39)/1000000)*T54/100/(IF(ISBLANK(Design!$B$32),Design!$B$31,Design!$B$32)*1000000)&lt;0,0,($B54-R54*IF(ISBLANK(Design!$B$40),Constants!$C$6,Design!$B$40)/1000*(1+Constants!$C$31/100*(AC54-25))-Design!$C$28)/(IF(ISBLANK(Design!$B$39),Design!$B$38,Design!$B$39)/1000000)*T54/100/(IF(ISBLANK(Design!$B$32),Design!$B$31,Design!$B$32)*1000000))</f>
        <v>0.57628215988366338</v>
      </c>
      <c r="V54" s="226">
        <f>$B54*Constants!$C$18/1000+IF(ISBLANK(Design!$B$32),Design!$B$31,Design!$B$32)*1000000*Constants!$D$22/1000000000*($B54-Constants!$C$21)</f>
        <v>8.7345000000000006E-2</v>
      </c>
      <c r="W54" s="226">
        <f>$B54*R54*($B54/(Constants!$C$23*1000000000)*IF(ISBLANK(Design!$B$32),Design!$B$31,Design!$B$32)*1000000/2+$B54/(Constants!$C$24*1000000000)*IF(ISBLANK(Design!$B$32),Design!$B$31,Design!$B$32)*1000000/2)</f>
        <v>0.31494898282163747</v>
      </c>
      <c r="X54" s="226">
        <f t="shared" ca="1" si="14"/>
        <v>0.24025986891288059</v>
      </c>
      <c r="Y54" s="226">
        <f>Constants!$D$22/1000000000*Constants!$C$21*IF(ISBLANK(Design!$B$32),Design!$B$31,Design!$B$32)*1000000</f>
        <v>4.9999999999999996E-2</v>
      </c>
      <c r="Z54" s="226">
        <f t="shared" ca="1" si="23"/>
        <v>0.69255385173451811</v>
      </c>
      <c r="AA54" s="226">
        <f t="shared" ca="1" si="19"/>
        <v>0.56744502293444365</v>
      </c>
      <c r="AB54" s="227">
        <f ca="1">$A54+AA54*Design!$B$19</f>
        <v>117.34436630726329</v>
      </c>
      <c r="AC54" s="227">
        <f ca="1">Z54*Design!$C$12+$A54</f>
        <v>108.54683095897362</v>
      </c>
      <c r="AD54" s="227">
        <f ca="1">Constants!$D$19+Constants!$D$19*Constants!$C$20/100*(AC54-25)</f>
        <v>124.31067716913194</v>
      </c>
      <c r="AE54" s="226">
        <f ca="1">(1-Constants!$D$17/1000000000*Design!$B$32*1000000) * ($B54+S54-R54*AD54/1000) - (S54+R54*(1+($A54-25)*Constants!$C$31/100)*IF(ISBLANK(Design!$B$40),Constants!$C$6/1000,Design!$B$40/1000))</f>
        <v>7.661047713733816</v>
      </c>
      <c r="AF54" s="160">
        <f ca="1">IF(AE54&gt;Design!$C$28,Design!$C$28,AE54)</f>
        <v>3.3239005736137672</v>
      </c>
      <c r="AG54" s="161">
        <f>Design!$D$6/3</f>
        <v>1.1666666666666667</v>
      </c>
      <c r="AH54" s="161">
        <f ca="1">FORECAST(AG54, OFFSET(Design!$C$15:$C$17,MATCH(AG54,Design!$B$15:$B$17,1)-1,0,2), OFFSET(Design!$B$15:$B$17,MATCH(AG54,Design!$B$15:$B$17,1)-1,0,2))+(AQ54-25)*Design!$B$18/1000</f>
        <v>0.3211316438063242</v>
      </c>
      <c r="AI54" s="239">
        <f ca="1">IF(100*(Design!$C$28+AH54+AG54*IF(ISBLANK(Design!$B$40),Constants!$C$6,Design!$B$40)/1000*(1+Constants!$C$31/100*(AR54-25)))/($B54+AH54-AG54*AS54/1000)&gt;Design!$C$35,Design!$C$35,100*(Design!$C$28+AH54+AG54*IF(ISBLANK(Design!$B$40),Constants!$C$6,Design!$B$40)/1000*(1+Constants!$C$31/100*(AR54-25)))/($B54+AH54-AG54*AS54/1000))</f>
        <v>34.191645892849181</v>
      </c>
      <c r="AJ54" s="162">
        <f ca="1">IF(($B54-AG54*IF(ISBLANK(Design!$B$40),Constants!$C$6,Design!$B$40)/1000*(1+Constants!$C$31/100*(AR54-25))-Design!$C$28)/(IF(ISBLANK(Design!$B$39),Design!$B$38,Design!$B$39)/1000000)*AI54/100/(IF(ISBLANK(Design!$B$32),Design!$B$31,Design!$B$32)*1000000)&lt;0,0,($B54-AG54*IF(ISBLANK(Design!$B$40),Constants!$C$6,Design!$B$40)/1000*(1+Constants!$C$31/100*(AR54-25))-Design!$C$28)/(IF(ISBLANK(Design!$B$39),Design!$B$38,Design!$B$39)/1000000)*AI54/100/(IF(ISBLANK(Design!$B$32),Design!$B$31,Design!$B$32)*1000000))</f>
        <v>0.56036765925168253</v>
      </c>
      <c r="AK54" s="240">
        <f>$B54*Constants!$C$18/1000+IF(ISBLANK(Design!$B$32),Design!$B$31,Design!$B$32)*1000000*Constants!$D$22/1000000000*($B54-Constants!$C$21)</f>
        <v>8.7345000000000006E-2</v>
      </c>
      <c r="AL54" s="240">
        <f>$B54*AG54*($B54/(Constants!$C$23*1000000000)*IF(ISBLANK(Design!$B$32),Design!$B$31,Design!$B$32)*1000000/2+$B54/(Constants!$C$24*1000000000)*IF(ISBLANK(Design!$B$32),Design!$B$31,Design!$B$32)*1000000/2)</f>
        <v>0.15747449141081873</v>
      </c>
      <c r="AM54" s="240">
        <f t="shared" ca="1" si="15"/>
        <v>5.610857959680398E-2</v>
      </c>
      <c r="AN54" s="240">
        <f>Constants!$D$22/1000000000*Constants!$C$21*IF(ISBLANK(Design!$B$32),Design!$B$31,Design!$B$32)*1000000</f>
        <v>4.9999999999999996E-2</v>
      </c>
      <c r="AO54" s="240">
        <f t="shared" ca="1" si="24"/>
        <v>0.35092807100762269</v>
      </c>
      <c r="AP54" s="240">
        <f t="shared" ca="1" si="21"/>
        <v>0.24655335752387678</v>
      </c>
      <c r="AQ54" s="241">
        <f ca="1">$A54+AP54*Design!$B$19</f>
        <v>99.05354137886097</v>
      </c>
      <c r="AR54" s="241">
        <f ca="1">AO54*Design!$C$12+$A54</f>
        <v>96.931554414259168</v>
      </c>
      <c r="AS54" s="241">
        <f ca="1">Constants!$D$19+Constants!$D$19*Constants!$C$20/100*(AR54-25)</f>
        <v>118.28931780835197</v>
      </c>
      <c r="AT54" s="240">
        <f ca="1">(1-Constants!$D$17/1000000000*Design!$B$32*1000000) * ($B54+AH54-AG54*AS54/1000) - (AH54+AG54*(1+($A54-25)*Constants!$C$31/100)*IF(ISBLANK(Design!$B$40),Constants!$C$6/1000,Design!$B$40/1000))</f>
        <v>7.8186098770297443</v>
      </c>
      <c r="AU54" s="162">
        <f ca="1">IF(AT54&gt;Design!$C$28,Design!$C$28,AT54)</f>
        <v>3.3239005736137672</v>
      </c>
    </row>
    <row r="55" spans="1:47" ht="12.75" customHeight="1">
      <c r="A55" s="155">
        <f>Design!$D$13</f>
        <v>85</v>
      </c>
      <c r="B55" s="156">
        <f t="shared" si="12"/>
        <v>10.360000000000001</v>
      </c>
      <c r="C55" s="157">
        <f>Design!$D$6</f>
        <v>3.5</v>
      </c>
      <c r="D55" s="157">
        <f ca="1">FORECAST(C55, OFFSET(Design!$C$15:$C$17,MATCH(C55,Design!$B$15:$B$17,1)-1,0,2), OFFSET(Design!$B$15:$B$17,MATCH(C55,Design!$B$15:$B$17,1)-1,0,2))+(M55-25)*Design!$B$18/1000</f>
        <v>0.38869045413313502</v>
      </c>
      <c r="E55" s="216">
        <f ca="1">IF(100*(Design!$C$28+D55+C55*IF(ISBLANK(Design!$B$40),Constants!$C$6,Design!$B$40)/1000*(1+Constants!$C$31/100*(N55-25)))/($B55+D55-C55*O55/1000)&gt;Design!$C$35,Design!$C$35,100*(Design!$C$28+D55+C55*IF(ISBLANK(Design!$B$40),Constants!$C$6,Design!$B$40)/1000*(1+Constants!$C$31/100*(N55-25)))/($B55+D55-C55*O55/1000))</f>
        <v>37.055470445134581</v>
      </c>
      <c r="F55" s="158">
        <f ca="1">IF(($B55-C55*IF(ISBLANK(Design!$B$40),Constants!$C$6,Design!$B$40)/1000*(1+Constants!$C$31/100*(N55-25))-Design!$C$28)/(IF(ISBLANK(Design!$B$39),Design!$B$38,Design!$B$39)/1000000)*E55/100/(IF(ISBLANK(Design!$B$32),Design!$B$31,Design!$B$32)*1000000)&lt;0,0,($B55-C55*IF(ISBLANK(Design!$B$40),Constants!$C$6,Design!$B$40)/1000*(1+Constants!$C$31/100*(N55-25))-Design!$C$28)/(IF(ISBLANK(Design!$B$39),Design!$B$38,Design!$B$39)/1000000)*E55/100/(IF(ISBLANK(Design!$B$32),Design!$B$31,Design!$B$32)*1000000))</f>
        <v>0.5843325810105594</v>
      </c>
      <c r="G55" s="208">
        <f>B55*Constants!$C$18/1000+IF(ISBLANK(Design!$B$32),Design!$B$31,Design!$B$32)*1000000*Constants!$D$22/1000000000*(B55-Constants!$C$21)</f>
        <v>8.4680000000000019E-2</v>
      </c>
      <c r="H55" s="208">
        <f>B55*C55*(B55/(Constants!$C$23*1000000000)*IF(ISBLANK(Design!$B$32),Design!$B$31,Design!$B$32)*1000000/2+B55/(Constants!$C$24*1000000000)*IF(ISBLANK(Design!$B$32),Design!$B$31,Design!$B$32)*1000000/2)</f>
        <v>0.45426782456140363</v>
      </c>
      <c r="I55" s="208">
        <f t="shared" ca="1" si="13"/>
        <v>0.60587208316269536</v>
      </c>
      <c r="J55" s="208">
        <f>Constants!$D$22/1000000000*Constants!$C$21*IF(ISBLANK(Design!$B$32),Design!$B$31,Design!$B$32)*1000000</f>
        <v>4.9999999999999996E-2</v>
      </c>
      <c r="K55" s="208">
        <f t="shared" ca="1" si="22"/>
        <v>1.1948199077240991</v>
      </c>
      <c r="L55" s="208">
        <f t="shared" ca="1" si="17"/>
        <v>0.85630782222570134</v>
      </c>
      <c r="M55" s="209">
        <f ca="1">$A55+L55*Design!$B$19</f>
        <v>133.80954586686499</v>
      </c>
      <c r="N55" s="209">
        <f ca="1">K55*Design!$C$12+A55</f>
        <v>125.62387686261937</v>
      </c>
      <c r="O55" s="209">
        <f ca="1">Constants!$D$19+Constants!$D$19*Constants!$C$20/100*(N55-25)</f>
        <v>133.1634177655819</v>
      </c>
      <c r="P55" s="208">
        <f ca="1">(1-Constants!$D$17/1000000000*Design!$B$32*1000000) * ($B55+D55-C55*O55/1000) - (D55+C55*(1+($A55-25)*Constants!$C$31/100)*IF(ISBLANK(Design!$B$40),Constants!$C$6/1000,Design!$B$40/1000))</f>
        <v>7.3395935997516002</v>
      </c>
      <c r="Q55" s="158">
        <f ca="1">IF(P55&gt;Design!$C$28,Design!$C$28,P55)</f>
        <v>3.3239005736137672</v>
      </c>
      <c r="R55" s="159">
        <f>2*Design!$D$6/3</f>
        <v>2.3333333333333335</v>
      </c>
      <c r="S55" s="159">
        <f ca="1">FORECAST(R55, OFFSET(Design!$C$15:$C$17,MATCH(R55,Design!$B$15:$B$17,1)-1,0,2), OFFSET(Design!$B$15:$B$17,MATCH(R55,Design!$B$15:$B$17,1)-1,0,2))+(AB55-25)*Design!$B$18/1000</f>
        <v>0.37630833208290476</v>
      </c>
      <c r="T55" s="225">
        <f ca="1">IF(100*(Design!$C$28+S55+R55*IF(ISBLANK(Design!$B$40),Constants!$C$6,Design!$B$40)/1000*(1+Constants!$C$31/100*(AC55-25)))/($B55+S55-R55*AD55/1000)&gt;Design!$C$35,Design!$C$35,100*(Design!$C$28+S55+R55*IF(ISBLANK(Design!$B$40),Constants!$C$6,Design!$B$40)/1000*(1+Constants!$C$31/100*(AC55-25)))/($B55+S55-R55*AD55/1000))</f>
        <v>36.012715489679593</v>
      </c>
      <c r="U55" s="160">
        <f ca="1">IF(($B55-R55*IF(ISBLANK(Design!$B$40),Constants!$C$6,Design!$B$40)/1000*(1+Constants!$C$31/100*(AC55-25))-Design!$C$28)/(IF(ISBLANK(Design!$B$39),Design!$B$38,Design!$B$39)/1000000)*T55/100/(IF(ISBLANK(Design!$B$32),Design!$B$31,Design!$B$32)*1000000)&lt;0,0,($B55-R55*IF(ISBLANK(Design!$B$40),Constants!$C$6,Design!$B$40)/1000*(1+Constants!$C$31/100*(AC55-25))-Design!$C$28)/(IF(ISBLANK(Design!$B$39),Design!$B$38,Design!$B$39)/1000000)*T55/100/(IF(ISBLANK(Design!$B$32),Design!$B$31,Design!$B$32)*1000000))</f>
        <v>0.57081589444226721</v>
      </c>
      <c r="V55" s="226">
        <f>$B55*Constants!$C$18/1000+IF(ISBLANK(Design!$B$32),Design!$B$31,Design!$B$32)*1000000*Constants!$D$22/1000000000*($B55-Constants!$C$21)</f>
        <v>8.4680000000000019E-2</v>
      </c>
      <c r="W55" s="226">
        <f>$B55*R55*($B55/(Constants!$C$23*1000000000)*IF(ISBLANK(Design!$B$32),Design!$B$31,Design!$B$32)*1000000/2+$B55/(Constants!$C$24*1000000000)*IF(ISBLANK(Design!$B$32),Design!$B$31,Design!$B$32)*1000000/2)</f>
        <v>0.30284521637426914</v>
      </c>
      <c r="X55" s="226">
        <f t="shared" ca="1" si="14"/>
        <v>0.24458792925179909</v>
      </c>
      <c r="Y55" s="226">
        <f>Constants!$D$22/1000000000*Constants!$C$21*IF(ISBLANK(Design!$B$32),Design!$B$31,Design!$B$32)*1000000</f>
        <v>4.9999999999999996E-2</v>
      </c>
      <c r="Z55" s="226">
        <f t="shared" ca="1" si="23"/>
        <v>0.68211314562606828</v>
      </c>
      <c r="AA55" s="226">
        <f t="shared" ca="1" si="19"/>
        <v>0.56184212720050242</v>
      </c>
      <c r="AB55" s="227">
        <f ca="1">$A55+AA55*Design!$B$19</f>
        <v>117.02500125042863</v>
      </c>
      <c r="AC55" s="227">
        <f ca="1">Z55*Design!$C$12+$A55</f>
        <v>108.19184695128632</v>
      </c>
      <c r="AD55" s="227">
        <f ca="1">Constants!$D$19+Constants!$D$19*Constants!$C$20/100*(AC55-25)</f>
        <v>124.12665345954684</v>
      </c>
      <c r="AE55" s="226">
        <f ca="1">(1-Constants!$D$17/1000000000*Design!$B$32*1000000) * ($B55+S55-R55*AD55/1000) - (S55+R55*(1+($A55-25)*Constants!$C$31/100)*IF(ISBLANK(Design!$B$40),Constants!$C$6/1000,Design!$B$40/1000))</f>
        <v>7.5054974014985065</v>
      </c>
      <c r="AF55" s="160">
        <f ca="1">IF(AE55&gt;Design!$C$28,Design!$C$28,AE55)</f>
        <v>3.3239005736137672</v>
      </c>
      <c r="AG55" s="161">
        <f>Design!$D$6/3</f>
        <v>1.1666666666666667</v>
      </c>
      <c r="AH55" s="161">
        <f ca="1">FORECAST(AG55, OFFSET(Design!$C$15:$C$17,MATCH(AG55,Design!$B$15:$B$17,1)-1,0,2), OFFSET(Design!$B$15:$B$17,MATCH(AG55,Design!$B$15:$B$17,1)-1,0,2))+(AQ55-25)*Design!$B$18/1000</f>
        <v>0.32126774104624967</v>
      </c>
      <c r="AI55" s="239">
        <f ca="1">IF(100*(Design!$C$28+AH55+AG55*IF(ISBLANK(Design!$B$40),Constants!$C$6,Design!$B$40)/1000*(1+Constants!$C$31/100*(AR55-25)))/($B55+AH55-AG55*AS55/1000)&gt;Design!$C$35,Design!$C$35,100*(Design!$C$28+AH55+AG55*IF(ISBLANK(Design!$B$40),Constants!$C$6,Design!$B$40)/1000*(1+Constants!$C$31/100*(AR55-25)))/($B55+AH55-AG55*AS55/1000))</f>
        <v>34.856554975565153</v>
      </c>
      <c r="AJ55" s="162">
        <f ca="1">IF(($B55-AG55*IF(ISBLANK(Design!$B$40),Constants!$C$6,Design!$B$40)/1000*(1+Constants!$C$31/100*(AR55-25))-Design!$C$28)/(IF(ISBLANK(Design!$B$39),Design!$B$38,Design!$B$39)/1000000)*AI55/100/(IF(ISBLANK(Design!$B$32),Design!$B$31,Design!$B$32)*1000000)&lt;0,0,($B55-AG55*IF(ISBLANK(Design!$B$40),Constants!$C$6,Design!$B$40)/1000*(1+Constants!$C$31/100*(AR55-25))-Design!$C$28)/(IF(ISBLANK(Design!$B$39),Design!$B$38,Design!$B$39)/1000000)*AI55/100/(IF(ISBLANK(Design!$B$32),Design!$B$31,Design!$B$32)*1000000))</f>
        <v>0.55502678820782492</v>
      </c>
      <c r="AK55" s="240">
        <f>$B55*Constants!$C$18/1000+IF(ISBLANK(Design!$B$32),Design!$B$31,Design!$B$32)*1000000*Constants!$D$22/1000000000*($B55-Constants!$C$21)</f>
        <v>8.4680000000000019E-2</v>
      </c>
      <c r="AL55" s="240">
        <f>$B55*AG55*($B55/(Constants!$C$23*1000000000)*IF(ISBLANK(Design!$B$32),Design!$B$31,Design!$B$32)*1000000/2+$B55/(Constants!$C$24*1000000000)*IF(ISBLANK(Design!$B$32),Design!$B$31,Design!$B$32)*1000000/2)</f>
        <v>0.15142260818713457</v>
      </c>
      <c r="AM55" s="240">
        <f t="shared" ca="1" si="15"/>
        <v>5.7113523187104394E-2</v>
      </c>
      <c r="AN55" s="240">
        <f>Constants!$D$22/1000000000*Constants!$C$21*IF(ISBLANK(Design!$B$32),Design!$B$31,Design!$B$32)*1000000</f>
        <v>4.9999999999999996E-2</v>
      </c>
      <c r="AO55" s="240">
        <f t="shared" ca="1" si="24"/>
        <v>0.34321613137423895</v>
      </c>
      <c r="AP55" s="240">
        <f t="shared" ca="1" si="21"/>
        <v>0.24416568664799193</v>
      </c>
      <c r="AQ55" s="241">
        <f ca="1">$A55+AP55*Design!$B$19</f>
        <v>98.917444138935537</v>
      </c>
      <c r="AR55" s="241">
        <f ca="1">AO55*Design!$C$12+$A55</f>
        <v>96.669348466724131</v>
      </c>
      <c r="AS55" s="241">
        <f ca="1">Constants!$D$19+Constants!$D$19*Constants!$C$20/100*(AR55-25)</f>
        <v>118.15339024514979</v>
      </c>
      <c r="AT55" s="240">
        <f ca="1">(1-Constants!$D$17/1000000000*Design!$B$32*1000000) * ($B55+AH55-AG55*AS55/1000) - (AH55+AG55*(1+($A55-25)*Constants!$C$31/100)*IF(ISBLANK(Design!$B$40),Constants!$C$6/1000,Design!$B$40/1000))</f>
        <v>7.6628977361315345</v>
      </c>
      <c r="AU55" s="162">
        <f ca="1">IF(AT55&gt;Design!$C$28,Design!$C$28,AT55)</f>
        <v>3.3239005736137672</v>
      </c>
    </row>
    <row r="56" spans="1:47" ht="12.75" customHeight="1">
      <c r="A56" s="155">
        <f>Design!$D$13</f>
        <v>85</v>
      </c>
      <c r="B56" s="156">
        <f t="shared" si="12"/>
        <v>10.155000000000001</v>
      </c>
      <c r="C56" s="157">
        <f>Design!$D$6</f>
        <v>3.5</v>
      </c>
      <c r="D56" s="157">
        <f ca="1">FORECAST(C56, OFFSET(Design!$C$15:$C$17,MATCH(C56,Design!$B$15:$B$17,1)-1,0,2), OFFSET(Design!$B$15:$B$17,MATCH(C56,Design!$B$15:$B$17,1)-1,0,2))+(M56-25)*Design!$B$18/1000</f>
        <v>0.38921067823407052</v>
      </c>
      <c r="E56" s="216">
        <f ca="1">IF(100*(Design!$C$28+D56+C56*IF(ISBLANK(Design!$B$40),Constants!$C$6,Design!$B$40)/1000*(1+Constants!$C$31/100*(N56-25)))/($B56+D56-C56*O56/1000)&gt;Design!$C$35,Design!$C$35,100*(Design!$C$28+D56+C56*IF(ISBLANK(Design!$B$40),Constants!$C$6,Design!$B$40)/1000*(1+Constants!$C$31/100*(N56-25)))/($B56+D56-C56*O56/1000))</f>
        <v>37.809584445800958</v>
      </c>
      <c r="F56" s="158">
        <f ca="1">IF(($B56-C56*IF(ISBLANK(Design!$B$40),Constants!$C$6,Design!$B$40)/1000*(1+Constants!$C$31/100*(N56-25))-Design!$C$28)/(IF(ISBLANK(Design!$B$39),Design!$B$38,Design!$B$39)/1000000)*E56/100/(IF(ISBLANK(Design!$B$32),Design!$B$31,Design!$B$32)*1000000)&lt;0,0,($B56-C56*IF(ISBLANK(Design!$B$40),Constants!$C$6,Design!$B$40)/1000*(1+Constants!$C$31/100*(N56-25))-Design!$C$28)/(IF(ISBLANK(Design!$B$39),Design!$B$38,Design!$B$39)/1000000)*E56/100/(IF(ISBLANK(Design!$B$32),Design!$B$31,Design!$B$32)*1000000))</f>
        <v>0.57861562004599343</v>
      </c>
      <c r="G56" s="208">
        <f>B56*Constants!$C$18/1000+IF(ISBLANK(Design!$B$32),Design!$B$31,Design!$B$32)*1000000*Constants!$D$22/1000000000*(B56-Constants!$C$21)</f>
        <v>8.2015000000000018E-2</v>
      </c>
      <c r="H56" s="208">
        <f>B56*C56*(B56/(Constants!$C$23*1000000000)*IF(ISBLANK(Design!$B$32),Design!$B$31,Design!$B$32)*1000000/2+B56/(Constants!$C$24*1000000000)*IF(ISBLANK(Design!$B$32),Design!$B$31,Design!$B$32)*1000000/2)</f>
        <v>0.43646791282894748</v>
      </c>
      <c r="I56" s="208">
        <f t="shared" ca="1" si="13"/>
        <v>0.61744685087024287</v>
      </c>
      <c r="J56" s="208">
        <f>Constants!$D$22/1000000000*Constants!$C$21*IF(ISBLANK(Design!$B$32),Design!$B$31,Design!$B$32)*1000000</f>
        <v>4.9999999999999996E-2</v>
      </c>
      <c r="K56" s="208">
        <f t="shared" ca="1" si="22"/>
        <v>1.1859297636991906</v>
      </c>
      <c r="L56" s="208">
        <f t="shared" ca="1" si="17"/>
        <v>0.84718108361279743</v>
      </c>
      <c r="M56" s="209">
        <f ca="1">$A56+L56*Design!$B$19</f>
        <v>133.28932176592946</v>
      </c>
      <c r="N56" s="209">
        <f ca="1">K56*Design!$C$12+A56</f>
        <v>125.32161196577248</v>
      </c>
      <c r="O56" s="209">
        <f ca="1">Constants!$D$19+Constants!$D$19*Constants!$C$20/100*(N56-25)</f>
        <v>133.00672364305646</v>
      </c>
      <c r="P56" s="208">
        <f ca="1">(1-Constants!$D$17/1000000000*Design!$B$32*1000000) * ($B56+D56-C56*O56/1000) - (D56+C56*(1+($A56-25)*Constants!$C$31/100)*IF(ISBLANK(Design!$B$40),Constants!$C$6/1000,Design!$B$40/1000))</f>
        <v>7.1840855523332925</v>
      </c>
      <c r="Q56" s="158">
        <f ca="1">IF(P56&gt;Design!$C$28,Design!$C$28,P56)</f>
        <v>3.3239005736137672</v>
      </c>
      <c r="R56" s="159">
        <f>2*Design!$D$6/3</f>
        <v>2.3333333333333335</v>
      </c>
      <c r="S56" s="159">
        <f ca="1">FORECAST(R56, OFFSET(Design!$C$15:$C$17,MATCH(R56,Design!$B$15:$B$17,1)-1,0,2), OFFSET(Design!$B$15:$B$17,MATCH(R56,Design!$B$15:$B$17,1)-1,0,2))+(AB56-25)*Design!$B$18/1000</f>
        <v>0.37664108959987452</v>
      </c>
      <c r="T56" s="225">
        <f ca="1">IF(100*(Design!$C$28+S56+R56*IF(ISBLANK(Design!$B$40),Constants!$C$6,Design!$B$40)/1000*(1+Constants!$C$31/100*(AC56-25)))/($B56+S56-R56*AD56/1000)&gt;Design!$C$35,Design!$C$35,100*(Design!$C$28+S56+R56*IF(ISBLANK(Design!$B$40),Constants!$C$6,Design!$B$40)/1000*(1+Constants!$C$31/100*(AC56-25)))/($B56+S56-R56*AD56/1000))</f>
        <v>36.733523386612688</v>
      </c>
      <c r="U56" s="160">
        <f ca="1">IF(($B56-R56*IF(ISBLANK(Design!$B$40),Constants!$C$6,Design!$B$40)/1000*(1+Constants!$C$31/100*(AC56-25))-Design!$C$28)/(IF(ISBLANK(Design!$B$39),Design!$B$38,Design!$B$39)/1000000)*T56/100/(IF(ISBLANK(Design!$B$32),Design!$B$31,Design!$B$32)*1000000)&lt;0,0,($B56-R56*IF(ISBLANK(Design!$B$40),Constants!$C$6,Design!$B$40)/1000*(1+Constants!$C$31/100*(AC56-25))-Design!$C$28)/(IF(ISBLANK(Design!$B$39),Design!$B$38,Design!$B$39)/1000000)*T56/100/(IF(ISBLANK(Design!$B$32),Design!$B$31,Design!$B$32)*1000000))</f>
        <v>0.56513171824233366</v>
      </c>
      <c r="V56" s="226">
        <f>$B56*Constants!$C$18/1000+IF(ISBLANK(Design!$B$32),Design!$B$31,Design!$B$32)*1000000*Constants!$D$22/1000000000*($B56-Constants!$C$21)</f>
        <v>8.2015000000000018E-2</v>
      </c>
      <c r="W56" s="226">
        <f>$B56*R56*($B56/(Constants!$C$23*1000000000)*IF(ISBLANK(Design!$B$32),Design!$B$31,Design!$B$32)*1000000/2+$B56/(Constants!$C$24*1000000000)*IF(ISBLANK(Design!$B$32),Design!$B$31,Design!$B$32)*1000000/2)</f>
        <v>0.29097860855263163</v>
      </c>
      <c r="X56" s="226">
        <f t="shared" ca="1" si="14"/>
        <v>0.24910414424756888</v>
      </c>
      <c r="Y56" s="226">
        <f>Constants!$D$22/1000000000*Constants!$C$21*IF(ISBLANK(Design!$B$32),Design!$B$31,Design!$B$32)*1000000</f>
        <v>4.9999999999999996E-2</v>
      </c>
      <c r="Z56" s="226">
        <f t="shared" ca="1" si="23"/>
        <v>0.67209775280020057</v>
      </c>
      <c r="AA56" s="226">
        <f t="shared" ca="1" si="19"/>
        <v>0.55600427602559421</v>
      </c>
      <c r="AB56" s="227">
        <f ca="1">$A56+AA56*Design!$B$19</f>
        <v>116.69224373345887</v>
      </c>
      <c r="AC56" s="227">
        <f ca="1">Z56*Design!$C$12+$A56</f>
        <v>107.85132359520682</v>
      </c>
      <c r="AD56" s="227">
        <f ca="1">Constants!$D$19+Constants!$D$19*Constants!$C$20/100*(AC56-25)</f>
        <v>123.95012615175523</v>
      </c>
      <c r="AE56" s="226">
        <f ca="1">(1-Constants!$D$17/1000000000*Design!$B$32*1000000) * ($B56+S56-R56*AD56/1000) - (S56+R56*(1+($A56-25)*Constants!$C$31/100)*IF(ISBLANK(Design!$B$40),Constants!$C$6/1000,Design!$B$40/1000))</f>
        <v>7.3499305814535854</v>
      </c>
      <c r="AF56" s="160">
        <f ca="1">IF(AE56&gt;Design!$C$28,Design!$C$28,AE56)</f>
        <v>3.3239005736137672</v>
      </c>
      <c r="AG56" s="161">
        <f>Design!$D$6/3</f>
        <v>1.1666666666666667</v>
      </c>
      <c r="AH56" s="161">
        <f ca="1">FORECAST(AG56, OFFSET(Design!$C$15:$C$17,MATCH(AG56,Design!$B$15:$B$17,1)-1,0,2), OFFSET(Design!$B$15:$B$17,MATCH(AG56,Design!$B$15:$B$17,1)-1,0,2))+(AQ56-25)*Design!$B$18/1000</f>
        <v>0.32140936040521256</v>
      </c>
      <c r="AI56" s="239">
        <f ca="1">IF(100*(Design!$C$28+AH56+AG56*IF(ISBLANK(Design!$B$40),Constants!$C$6,Design!$B$40)/1000*(1+Constants!$C$31/100*(AR56-25)))/($B56+AH56-AG56*AS56/1000)&gt;Design!$C$35,Design!$C$35,100*(Design!$C$28+AH56+AG56*IF(ISBLANK(Design!$B$40),Constants!$C$6,Design!$B$40)/1000*(1+Constants!$C$31/100*(AR56-25)))/($B56+AH56-AG56*AS56/1000))</f>
        <v>35.547844783348971</v>
      </c>
      <c r="AJ56" s="162">
        <f ca="1">IF(($B56-AG56*IF(ISBLANK(Design!$B$40),Constants!$C$6,Design!$B$40)/1000*(1+Constants!$C$31/100*(AR56-25))-Design!$C$28)/(IF(ISBLANK(Design!$B$39),Design!$B$38,Design!$B$39)/1000000)*AI56/100/(IF(ISBLANK(Design!$B$32),Design!$B$31,Design!$B$32)*1000000)&lt;0,0,($B56-AG56*IF(ISBLANK(Design!$B$40),Constants!$C$6,Design!$B$40)/1000*(1+Constants!$C$31/100*(AR56-25))-Design!$C$28)/(IF(ISBLANK(Design!$B$39),Design!$B$38,Design!$B$39)/1000000)*AI56/100/(IF(ISBLANK(Design!$B$32),Design!$B$31,Design!$B$32)*1000000))</f>
        <v>0.5494741504875249</v>
      </c>
      <c r="AK56" s="240">
        <f>$B56*Constants!$C$18/1000+IF(ISBLANK(Design!$B$32),Design!$B$31,Design!$B$32)*1000000*Constants!$D$22/1000000000*($B56-Constants!$C$21)</f>
        <v>8.2015000000000018E-2</v>
      </c>
      <c r="AL56" s="240">
        <f>$B56*AG56*($B56/(Constants!$C$23*1000000000)*IF(ISBLANK(Design!$B$32),Design!$B$31,Design!$B$32)*1000000/2+$B56/(Constants!$C$24*1000000000)*IF(ISBLANK(Design!$B$32),Design!$B$31,Design!$B$32)*1000000/2)</f>
        <v>0.14548930427631582</v>
      </c>
      <c r="AM56" s="240">
        <f t="shared" ca="1" si="15"/>
        <v>5.8159156568580235E-2</v>
      </c>
      <c r="AN56" s="240">
        <f>Constants!$D$22/1000000000*Constants!$C$21*IF(ISBLANK(Design!$B$32),Design!$B$31,Design!$B$32)*1000000</f>
        <v>4.9999999999999996E-2</v>
      </c>
      <c r="AO56" s="240">
        <f t="shared" ca="1" si="24"/>
        <v>0.33566346084489607</v>
      </c>
      <c r="AP56" s="240">
        <f t="shared" ca="1" si="21"/>
        <v>0.24168113649074843</v>
      </c>
      <c r="AQ56" s="241">
        <f ca="1">$A56+AP56*Design!$B$19</f>
        <v>98.775824779972666</v>
      </c>
      <c r="AR56" s="241">
        <f ca="1">AO56*Design!$C$12+$A56</f>
        <v>96.412557668726464</v>
      </c>
      <c r="AS56" s="241">
        <f ca="1">Constants!$D$19+Constants!$D$19*Constants!$C$20/100*(AR56-25)</f>
        <v>118.02026989546781</v>
      </c>
      <c r="AT56" s="240">
        <f ca="1">(1-Constants!$D$17/1000000000*Design!$B$32*1000000) * ($B56+AH56-AG56*AS56/1000) - (AH56+AG56*(1+($A56-25)*Constants!$C$31/100)*IF(ISBLANK(Design!$B$40),Constants!$C$6/1000,Design!$B$40/1000))</f>
        <v>7.5071817808621013</v>
      </c>
      <c r="AU56" s="162">
        <f ca="1">IF(AT56&gt;Design!$C$28,Design!$C$28,AT56)</f>
        <v>3.3239005736137672</v>
      </c>
    </row>
    <row r="57" spans="1:47" ht="12.75" customHeight="1">
      <c r="A57" s="155">
        <f>Design!$D$13</f>
        <v>85</v>
      </c>
      <c r="B57" s="156">
        <f t="shared" si="12"/>
        <v>9.9500000000000011</v>
      </c>
      <c r="C57" s="157">
        <f>Design!$D$6</f>
        <v>3.5</v>
      </c>
      <c r="D57" s="157">
        <f ca="1">FORECAST(C57, OFFSET(Design!$C$15:$C$17,MATCH(C57,Design!$B$15:$B$17,1)-1,0,2), OFFSET(Design!$B$15:$B$17,MATCH(C57,Design!$B$15:$B$17,1)-1,0,2))+(M57-25)*Design!$B$18/1000</f>
        <v>0.38975418508014581</v>
      </c>
      <c r="E57" s="216">
        <f ca="1">IF(100*(Design!$C$28+D57+C57*IF(ISBLANK(Design!$B$40),Constants!$C$6,Design!$B$40)/1000*(1+Constants!$C$31/100*(N57-25)))/($B57+D57-C57*O57/1000)&gt;Design!$C$35,Design!$C$35,100*(Design!$C$28+D57+C57*IF(ISBLANK(Design!$B$40),Constants!$C$6,Design!$B$40)/1000*(1+Constants!$C$31/100*(N57-25)))/($B57+D57-C57*O57/1000))</f>
        <v>38.59529871814906</v>
      </c>
      <c r="F57" s="158">
        <f ca="1">IF(($B57-C57*IF(ISBLANK(Design!$B$40),Constants!$C$6,Design!$B$40)/1000*(1+Constants!$C$31/100*(N57-25))-Design!$C$28)/(IF(ISBLANK(Design!$B$39),Design!$B$38,Design!$B$39)/1000000)*E57/100/(IF(ISBLANK(Design!$B$32),Design!$B$31,Design!$B$32)*1000000)&lt;0,0,($B57-C57*IF(ISBLANK(Design!$B$40),Constants!$C$6,Design!$B$40)/1000*(1+Constants!$C$31/100*(N57-25))-Design!$C$28)/(IF(ISBLANK(Design!$B$39),Design!$B$38,Design!$B$39)/1000000)*E57/100/(IF(ISBLANK(Design!$B$32),Design!$B$31,Design!$B$32)*1000000))</f>
        <v>0.57266436986653324</v>
      </c>
      <c r="G57" s="208">
        <f>B57*Constants!$C$18/1000+IF(ISBLANK(Design!$B$32),Design!$B$31,Design!$B$32)*1000000*Constants!$D$22/1000000000*(B57-Constants!$C$21)</f>
        <v>7.9350000000000004E-2</v>
      </c>
      <c r="H57" s="208">
        <f>B57*C57*(B57/(Constants!$C$23*1000000000)*IF(ISBLANK(Design!$B$32),Design!$B$31,Design!$B$32)*1000000/2+B57/(Constants!$C$24*1000000000)*IF(ISBLANK(Design!$B$32),Design!$B$31,Design!$B$32)*1000000/2)</f>
        <v>0.41902373903508783</v>
      </c>
      <c r="I57" s="208">
        <f t="shared" ca="1" si="13"/>
        <v>0.62958267277978364</v>
      </c>
      <c r="J57" s="208">
        <f>Constants!$D$22/1000000000*Constants!$C$21*IF(ISBLANK(Design!$B$32),Design!$B$31,Design!$B$32)*1000000</f>
        <v>4.9999999999999996E-2</v>
      </c>
      <c r="K57" s="208">
        <f t="shared" ca="1" si="22"/>
        <v>1.1779564118148715</v>
      </c>
      <c r="L57" s="208">
        <f t="shared" ca="1" si="17"/>
        <v>0.83764587578691585</v>
      </c>
      <c r="M57" s="209">
        <f ca="1">$A57+L57*Design!$B$19</f>
        <v>132.74581491985421</v>
      </c>
      <c r="N57" s="209">
        <f ca="1">K57*Design!$C$12+A57</f>
        <v>125.05051800170563</v>
      </c>
      <c r="O57" s="209">
        <f ca="1">Constants!$D$19+Constants!$D$19*Constants!$C$20/100*(N57-25)</f>
        <v>132.86618853208421</v>
      </c>
      <c r="P57" s="208">
        <f ca="1">(1-Constants!$D$17/1000000000*Design!$B$32*1000000) * ($B57+D57-C57*O57/1000) - (D57+C57*(1+($A57-25)*Constants!$C$31/100)*IF(ISBLANK(Design!$B$40),Constants!$C$6/1000,Design!$B$40/1000))</f>
        <v>7.0285289340854211</v>
      </c>
      <c r="Q57" s="158">
        <f ca="1">IF(P57&gt;Design!$C$28,Design!$C$28,P57)</f>
        <v>3.3239005736137672</v>
      </c>
      <c r="R57" s="159">
        <f>2*Design!$D$6/3</f>
        <v>2.3333333333333335</v>
      </c>
      <c r="S57" s="159">
        <f ca="1">FORECAST(R57, OFFSET(Design!$C$15:$C$17,MATCH(R57,Design!$B$15:$B$17,1)-1,0,2), OFFSET(Design!$B$15:$B$17,MATCH(R57,Design!$B$15:$B$17,1)-1,0,2))+(AB57-25)*Design!$B$18/1000</f>
        <v>0.37698809915503573</v>
      </c>
      <c r="T57" s="225">
        <f ca="1">IF(100*(Design!$C$28+S57+R57*IF(ISBLANK(Design!$B$40),Constants!$C$6,Design!$B$40)/1000*(1+Constants!$C$31/100*(AC57-25)))/($B57+S57-R57*AD57/1000)&gt;Design!$C$35,Design!$C$35,100*(Design!$C$28+S57+R57*IF(ISBLANK(Design!$B$40),Constants!$C$6,Design!$B$40)/1000*(1+Constants!$C$31/100*(AC57-25)))/($B57+S57-R57*AD57/1000))</f>
        <v>37.483848164798175</v>
      </c>
      <c r="U57" s="160">
        <f ca="1">IF(($B57-R57*IF(ISBLANK(Design!$B$40),Constants!$C$6,Design!$B$40)/1000*(1+Constants!$C$31/100*(AC57-25))-Design!$C$28)/(IF(ISBLANK(Design!$B$39),Design!$B$38,Design!$B$39)/1000000)*T57/100/(IF(ISBLANK(Design!$B$32),Design!$B$31,Design!$B$32)*1000000)&lt;0,0,($B57-R57*IF(ISBLANK(Design!$B$40),Constants!$C$6,Design!$B$40)/1000*(1+Constants!$C$31/100*(AC57-25))-Design!$C$28)/(IF(ISBLANK(Design!$B$39),Design!$B$38,Design!$B$39)/1000000)*T57/100/(IF(ISBLANK(Design!$B$32),Design!$B$31,Design!$B$32)*1000000))</f>
        <v>0.55921621082385053</v>
      </c>
      <c r="V57" s="226">
        <f>$B57*Constants!$C$18/1000+IF(ISBLANK(Design!$B$32),Design!$B$31,Design!$B$32)*1000000*Constants!$D$22/1000000000*($B57-Constants!$C$21)</f>
        <v>7.9350000000000004E-2</v>
      </c>
      <c r="W57" s="226">
        <f>$B57*R57*($B57/(Constants!$C$23*1000000000)*IF(ISBLANK(Design!$B$32),Design!$B$31,Design!$B$32)*1000000/2+$B57/(Constants!$C$24*1000000000)*IF(ISBLANK(Design!$B$32),Design!$B$31,Design!$B$32)*1000000/2)</f>
        <v>0.27934915935672527</v>
      </c>
      <c r="X57" s="226">
        <f t="shared" ca="1" si="14"/>
        <v>0.25382045792664409</v>
      </c>
      <c r="Y57" s="226">
        <f>Constants!$D$22/1000000000*Constants!$C$21*IF(ISBLANK(Design!$B$32),Design!$B$31,Design!$B$32)*1000000</f>
        <v>4.9999999999999996E-2</v>
      </c>
      <c r="Z57" s="226">
        <f t="shared" ca="1" si="23"/>
        <v>0.66251961728336939</v>
      </c>
      <c r="AA57" s="226">
        <f t="shared" ca="1" si="19"/>
        <v>0.54991638909294116</v>
      </c>
      <c r="AB57" s="227">
        <f ca="1">$A57+AA57*Design!$B$19</f>
        <v>116.34523417829764</v>
      </c>
      <c r="AC57" s="227">
        <f ca="1">Z57*Design!$C$12+$A57</f>
        <v>107.52566698763457</v>
      </c>
      <c r="AD57" s="227">
        <f ca="1">Constants!$D$19+Constants!$D$19*Constants!$C$20/100*(AC57-25)</f>
        <v>123.78130576638976</v>
      </c>
      <c r="AE57" s="226">
        <f ca="1">(1-Constants!$D$17/1000000000*Design!$B$32*1000000) * ($B57+S57-R57*AD57/1000) - (S57+R57*(1+($A57-25)*Constants!$C$31/100)*IF(ISBLANK(Design!$B$40),Constants!$C$6/1000,Design!$B$40/1000))</f>
        <v>7.1943466739770603</v>
      </c>
      <c r="AF57" s="160">
        <f ca="1">IF(AE57&gt;Design!$C$28,Design!$C$28,AE57)</f>
        <v>3.3239005736137672</v>
      </c>
      <c r="AG57" s="161">
        <f>Design!$D$6/3</f>
        <v>1.1666666666666667</v>
      </c>
      <c r="AH57" s="161">
        <f ca="1">FORECAST(AG57, OFFSET(Design!$C$15:$C$17,MATCH(AG57,Design!$B$15:$B$17,1)-1,0,2), OFFSET(Design!$B$15:$B$17,MATCH(AG57,Design!$B$15:$B$17,1)-1,0,2))+(AQ57-25)*Design!$B$18/1000</f>
        <v>0.32155684468644929</v>
      </c>
      <c r="AI57" s="239">
        <f ca="1">IF(100*(Design!$C$28+AH57+AG57*IF(ISBLANK(Design!$B$40),Constants!$C$6,Design!$B$40)/1000*(1+Constants!$C$31/100*(AR57-25)))/($B57+AH57-AG57*AS57/1000)&gt;Design!$C$35,Design!$C$35,100*(Design!$C$28+AH57+AG57*IF(ISBLANK(Design!$B$40),Constants!$C$6,Design!$B$40)/1000*(1+Constants!$C$31/100*(AR57-25)))/($B57+AH57-AG57*AS57/1000))</f>
        <v>36.267115909585129</v>
      </c>
      <c r="AJ57" s="162">
        <f ca="1">IF(($B57-AG57*IF(ISBLANK(Design!$B$40),Constants!$C$6,Design!$B$40)/1000*(1+Constants!$C$31/100*(AR57-25))-Design!$C$28)/(IF(ISBLANK(Design!$B$39),Design!$B$38,Design!$B$39)/1000000)*AI57/100/(IF(ISBLANK(Design!$B$32),Design!$B$31,Design!$B$32)*1000000)&lt;0,0,($B57-AG57*IF(ISBLANK(Design!$B$40),Constants!$C$6,Design!$B$40)/1000*(1+Constants!$C$31/100*(AR57-25))-Design!$C$28)/(IF(ISBLANK(Design!$B$39),Design!$B$38,Design!$B$39)/1000000)*AI57/100/(IF(ISBLANK(Design!$B$32),Design!$B$31,Design!$B$32)*1000000))</f>
        <v>0.54369686951827123</v>
      </c>
      <c r="AK57" s="240">
        <f>$B57*Constants!$C$18/1000+IF(ISBLANK(Design!$B$32),Design!$B$31,Design!$B$32)*1000000*Constants!$D$22/1000000000*($B57-Constants!$C$21)</f>
        <v>7.9350000000000004E-2</v>
      </c>
      <c r="AL57" s="240">
        <f>$B57*AG57*($B57/(Constants!$C$23*1000000000)*IF(ISBLANK(Design!$B$32),Design!$B$31,Design!$B$32)*1000000/2+$B57/(Constants!$C$24*1000000000)*IF(ISBLANK(Design!$B$32),Design!$B$31,Design!$B$32)*1000000/2)</f>
        <v>0.13967457967836264</v>
      </c>
      <c r="AM57" s="240">
        <f t="shared" ca="1" si="15"/>
        <v>5.9247946039311175E-2</v>
      </c>
      <c r="AN57" s="240">
        <f>Constants!$D$22/1000000000*Constants!$C$21*IF(ISBLANK(Design!$B$32),Design!$B$31,Design!$B$32)*1000000</f>
        <v>4.9999999999999996E-2</v>
      </c>
      <c r="AO57" s="240">
        <f t="shared" ca="1" si="24"/>
        <v>0.32827252571767379</v>
      </c>
      <c r="AP57" s="240">
        <f t="shared" ca="1" si="21"/>
        <v>0.23909369296027846</v>
      </c>
      <c r="AQ57" s="241">
        <f ca="1">$A57+AP57*Design!$B$19</f>
        <v>98.628340498735867</v>
      </c>
      <c r="AR57" s="241">
        <f ca="1">AO57*Design!$C$12+$A57</f>
        <v>96.161265874400911</v>
      </c>
      <c r="AS57" s="241">
        <f ca="1">Constants!$D$19+Constants!$D$19*Constants!$C$20/100*(AR57-25)</f>
        <v>117.89000022928944</v>
      </c>
      <c r="AT57" s="240">
        <f ca="1">(1-Constants!$D$17/1000000000*Design!$B$32*1000000) * ($B57+AH57-AG57*AS57/1000) - (AH57+AG57*(1+($A57-25)*Constants!$C$31/100)*IF(ISBLANK(Design!$B$40),Constants!$C$6/1000,Design!$B$40/1000))</f>
        <v>7.3514618904052842</v>
      </c>
      <c r="AU57" s="162">
        <f ca="1">IF(AT57&gt;Design!$C$28,Design!$C$28,AT57)</f>
        <v>3.3239005736137672</v>
      </c>
    </row>
    <row r="58" spans="1:47" ht="12.75" customHeight="1">
      <c r="A58" s="155">
        <f>Design!$D$13</f>
        <v>85</v>
      </c>
      <c r="B58" s="156">
        <f t="shared" si="12"/>
        <v>9.745000000000001</v>
      </c>
      <c r="C58" s="157">
        <f>Design!$D$6</f>
        <v>3.5</v>
      </c>
      <c r="D58" s="157">
        <f ca="1">FORECAST(C58, OFFSET(Design!$C$15:$C$17,MATCH(C58,Design!$B$15:$B$17,1)-1,0,2), OFFSET(Design!$B$15:$B$17,MATCH(C58,Design!$B$15:$B$17,1)-1,0,2))+(M58-25)*Design!$B$18/1000</f>
        <v>0.39032257522402913</v>
      </c>
      <c r="E58" s="216">
        <f ca="1">IF(100*(Design!$C$28+D58+C58*IF(ISBLANK(Design!$B$40),Constants!$C$6,Design!$B$40)/1000*(1+Constants!$C$31/100*(N58-25)))/($B58+D58-C58*O58/1000)&gt;Design!$C$35,Design!$C$35,100*(Design!$C$28+D58+C58*IF(ISBLANK(Design!$B$40),Constants!$C$6,Design!$B$40)/1000*(1+Constants!$C$31/100*(N58-25)))/($B58+D58-C58*O58/1000))</f>
        <v>39.414644530021576</v>
      </c>
      <c r="F58" s="158">
        <f ca="1">IF(($B58-C58*IF(ISBLANK(Design!$B$40),Constants!$C$6,Design!$B$40)/1000*(1+Constants!$C$31/100*(N58-25))-Design!$C$28)/(IF(ISBLANK(Design!$B$39),Design!$B$38,Design!$B$39)/1000000)*E58/100/(IF(ISBLANK(Design!$B$32),Design!$B$31,Design!$B$32)*1000000)&lt;0,0,($B58-C58*IF(ISBLANK(Design!$B$40),Constants!$C$6,Design!$B$40)/1000*(1+Constants!$C$31/100*(N58-25))-Design!$C$28)/(IF(ISBLANK(Design!$B$39),Design!$B$38,Design!$B$39)/1000000)*E58/100/(IF(ISBLANK(Design!$B$32),Design!$B$31,Design!$B$32)*1000000))</f>
        <v>0.56646379229089638</v>
      </c>
      <c r="G58" s="208">
        <f>B58*Constants!$C$18/1000+IF(ISBLANK(Design!$B$32),Design!$B$31,Design!$B$32)*1000000*Constants!$D$22/1000000000*(B58-Constants!$C$21)</f>
        <v>7.6685000000000017E-2</v>
      </c>
      <c r="H58" s="208">
        <f>B58*C58*(B58/(Constants!$C$23*1000000000)*IF(ISBLANK(Design!$B$32),Design!$B$31,Design!$B$32)*1000000/2+B58/(Constants!$C$24*1000000000)*IF(ISBLANK(Design!$B$32),Design!$B$31,Design!$B$32)*1000000/2)</f>
        <v>0.40193530317982462</v>
      </c>
      <c r="I58" s="208">
        <f t="shared" ca="1" si="13"/>
        <v>0.6423188794247694</v>
      </c>
      <c r="J58" s="208">
        <f>Constants!$D$22/1000000000*Constants!$C$21*IF(ISBLANK(Design!$B$32),Design!$B$31,Design!$B$32)*1000000</f>
        <v>4.9999999999999996E-2</v>
      </c>
      <c r="K58" s="208">
        <f t="shared" ca="1" si="22"/>
        <v>1.1709391826045941</v>
      </c>
      <c r="L58" s="208">
        <f t="shared" ca="1" si="17"/>
        <v>0.82767411887668207</v>
      </c>
      <c r="M58" s="209">
        <f ca="1">$A58+L58*Design!$B$19</f>
        <v>132.17742477597088</v>
      </c>
      <c r="N58" s="209">
        <f ca="1">K58*Design!$C$12+A58</f>
        <v>124.8119322085562</v>
      </c>
      <c r="O58" s="209">
        <f ca="1">Constants!$D$19+Constants!$D$19*Constants!$C$20/100*(N58-25)</f>
        <v>132.74250565691554</v>
      </c>
      <c r="P58" s="208">
        <f ca="1">(1-Constants!$D$17/1000000000*Design!$B$32*1000000) * ($B58+D58-C58*O58/1000) - (D58+C58*(1+($A58-25)*Constants!$C$31/100)*IF(ISBLANK(Design!$B$40),Constants!$C$6/1000,Design!$B$40/1000))</f>
        <v>6.8729215168988382</v>
      </c>
      <c r="Q58" s="158">
        <f ca="1">IF(P58&gt;Design!$C$28,Design!$C$28,P58)</f>
        <v>3.3239005736137672</v>
      </c>
      <c r="R58" s="159">
        <f>2*Design!$D$6/3</f>
        <v>2.3333333333333335</v>
      </c>
      <c r="S58" s="159">
        <f ca="1">FORECAST(R58, OFFSET(Design!$C$15:$C$17,MATCH(R58,Design!$B$15:$B$17,1)-1,0,2), OFFSET(Design!$B$15:$B$17,MATCH(R58,Design!$B$15:$B$17,1)-1,0,2))+(AB58-25)*Design!$B$18/1000</f>
        <v>0.37735029545392806</v>
      </c>
      <c r="T58" s="225">
        <f ca="1">IF(100*(Design!$C$28+S58+R58*IF(ISBLANK(Design!$B$40),Constants!$C$6,Design!$B$40)/1000*(1+Constants!$C$31/100*(AC58-25)))/($B58+S58-R58*AD58/1000)&gt;Design!$C$35,Design!$C$35,100*(Design!$C$28+S58+R58*IF(ISBLANK(Design!$B$40),Constants!$C$6,Design!$B$40)/1000*(1+Constants!$C$31/100*(AC58-25)))/($B58+S58-R58*AD58/1000))</f>
        <v>38.265538723012241</v>
      </c>
      <c r="U58" s="160">
        <f ca="1">IF(($B58-R58*IF(ISBLANK(Design!$B$40),Constants!$C$6,Design!$B$40)/1000*(1+Constants!$C$31/100*(AC58-25))-Design!$C$28)/(IF(ISBLANK(Design!$B$39),Design!$B$38,Design!$B$39)/1000000)*T58/100/(IF(ISBLANK(Design!$B$32),Design!$B$31,Design!$B$32)*1000000)&lt;0,0,($B58-R58*IF(ISBLANK(Design!$B$40),Constants!$C$6,Design!$B$40)/1000*(1+Constants!$C$31/100*(AC58-25))-Design!$C$28)/(IF(ISBLANK(Design!$B$39),Design!$B$38,Design!$B$39)/1000000)*T58/100/(IF(ISBLANK(Design!$B$32),Design!$B$31,Design!$B$32)*1000000))</f>
        <v>0.5530548289495214</v>
      </c>
      <c r="V58" s="226">
        <f>$B58*Constants!$C$18/1000+IF(ISBLANK(Design!$B$32),Design!$B$31,Design!$B$32)*1000000*Constants!$D$22/1000000000*($B58-Constants!$C$21)</f>
        <v>7.6685000000000017E-2</v>
      </c>
      <c r="W58" s="226">
        <f>$B58*R58*($B58/(Constants!$C$23*1000000000)*IF(ISBLANK(Design!$B$32),Design!$B$31,Design!$B$32)*1000000/2+$B58/(Constants!$C$24*1000000000)*IF(ISBLANK(Design!$B$32),Design!$B$31,Design!$B$32)*1000000/2)</f>
        <v>0.26795686878654978</v>
      </c>
      <c r="X58" s="226">
        <f t="shared" ca="1" si="14"/>
        <v>0.25874984799336664</v>
      </c>
      <c r="Y58" s="226">
        <f>Constants!$D$22/1000000000*Constants!$C$21*IF(ISBLANK(Design!$B$32),Design!$B$31,Design!$B$32)*1000000</f>
        <v>4.9999999999999996E-2</v>
      </c>
      <c r="Z58" s="226">
        <f t="shared" ca="1" si="23"/>
        <v>0.65339171677991648</v>
      </c>
      <c r="AA58" s="226">
        <f t="shared" ca="1" si="19"/>
        <v>0.54356206805974305</v>
      </c>
      <c r="AB58" s="227">
        <f ca="1">$A58+AA58*Design!$B$19</f>
        <v>115.98303787940536</v>
      </c>
      <c r="AC58" s="227">
        <f ca="1">Z58*Design!$C$12+$A58</f>
        <v>107.21531837051717</v>
      </c>
      <c r="AD58" s="227">
        <f ca="1">Constants!$D$19+Constants!$D$19*Constants!$C$20/100*(AC58-25)</f>
        <v>123.62042104327611</v>
      </c>
      <c r="AE58" s="226">
        <f ca="1">(1-Constants!$D$17/1000000000*Design!$B$32*1000000) * ($B58+S58-R58*AD58/1000) - (S58+R58*(1+($A58-25)*Constants!$C$31/100)*IF(ISBLANK(Design!$B$40),Constants!$C$6/1000,Design!$B$40/1000))</f>
        <v>7.0387450491076491</v>
      </c>
      <c r="AF58" s="160">
        <f ca="1">IF(AE58&gt;Design!$C$28,Design!$C$28,AE58)</f>
        <v>3.3239005736137672</v>
      </c>
      <c r="AG58" s="161">
        <f>Design!$D$6/3</f>
        <v>1.1666666666666667</v>
      </c>
      <c r="AH58" s="161">
        <f ca="1">FORECAST(AG58, OFFSET(Design!$C$15:$C$17,MATCH(AG58,Design!$B$15:$B$17,1)-1,0,2), OFFSET(Design!$B$15:$B$17,MATCH(AG58,Design!$B$15:$B$17,1)-1,0,2))+(AQ58-25)*Design!$B$18/1000</f>
        <v>0.32171056564927786</v>
      </c>
      <c r="AI58" s="239">
        <f ca="1">IF(100*(Design!$C$28+AH58+AG58*IF(ISBLANK(Design!$B$40),Constants!$C$6,Design!$B$40)/1000*(1+Constants!$C$31/100*(AR58-25)))/($B58+AH58-AG58*AS58/1000)&gt;Design!$C$35,Design!$C$35,100*(Design!$C$28+AH58+AG58*IF(ISBLANK(Design!$B$40),Constants!$C$6,Design!$B$40)/1000*(1+Constants!$C$31/100*(AR58-25)))/($B58+AH58-AG58*AS58/1000))</f>
        <v>37.01610101804507</v>
      </c>
      <c r="AJ58" s="162">
        <f ca="1">IF(($B58-AG58*IF(ISBLANK(Design!$B$40),Constants!$C$6,Design!$B$40)/1000*(1+Constants!$C$31/100*(AR58-25))-Design!$C$28)/(IF(ISBLANK(Design!$B$39),Design!$B$38,Design!$B$39)/1000000)*AI58/100/(IF(ISBLANK(Design!$B$32),Design!$B$31,Design!$B$32)*1000000)&lt;0,0,($B58-AG58*IF(ISBLANK(Design!$B$40),Constants!$C$6,Design!$B$40)/1000*(1+Constants!$C$31/100*(AR58-25))-Design!$C$28)/(IF(ISBLANK(Design!$B$39),Design!$B$38,Design!$B$39)/1000000)*AI58/100/(IF(ISBLANK(Design!$B$32),Design!$B$31,Design!$B$32)*1000000))</f>
        <v>0.53768100424846732</v>
      </c>
      <c r="AK58" s="240">
        <f>$B58*Constants!$C$18/1000+IF(ISBLANK(Design!$B$32),Design!$B$31,Design!$B$32)*1000000*Constants!$D$22/1000000000*($B58-Constants!$C$21)</f>
        <v>7.6685000000000017E-2</v>
      </c>
      <c r="AL58" s="240">
        <f>$B58*AG58*($B58/(Constants!$C$23*1000000000)*IF(ISBLANK(Design!$B$32),Design!$B$31,Design!$B$32)*1000000/2+$B58/(Constants!$C$24*1000000000)*IF(ISBLANK(Design!$B$32),Design!$B$31,Design!$B$32)*1000000/2)</f>
        <v>0.13397843439327489</v>
      </c>
      <c r="AM58" s="240">
        <f t="shared" ca="1" si="15"/>
        <v>6.0382562287912431E-2</v>
      </c>
      <c r="AN58" s="240">
        <f>Constants!$D$22/1000000000*Constants!$C$21*IF(ISBLANK(Design!$B$32),Design!$B$31,Design!$B$32)*1000000</f>
        <v>4.9999999999999996E-2</v>
      </c>
      <c r="AO58" s="240">
        <f t="shared" ca="1" si="24"/>
        <v>0.32104599668118733</v>
      </c>
      <c r="AP58" s="240">
        <f t="shared" ca="1" si="21"/>
        <v>0.23639683396328648</v>
      </c>
      <c r="AQ58" s="241">
        <f ca="1">$A58+AP58*Design!$B$19</f>
        <v>98.474619535907323</v>
      </c>
      <c r="AR58" s="241">
        <f ca="1">AO58*Design!$C$12+$A58</f>
        <v>95.915563887160374</v>
      </c>
      <c r="AS58" s="241">
        <f ca="1">Constants!$D$19+Constants!$D$19*Constants!$C$20/100*(AR58-25)</f>
        <v>117.76262831910395</v>
      </c>
      <c r="AT58" s="240">
        <f ca="1">(1-Constants!$D$17/1000000000*Design!$B$32*1000000) * ($B58+AH58-AG58*AS58/1000) - (AH58+AG58*(1+($A58-25)*Constants!$C$31/100)*IF(ISBLANK(Design!$B$40),Constants!$C$6/1000,Design!$B$40/1000))</f>
        <v>7.1957379338012348</v>
      </c>
      <c r="AU58" s="162">
        <f ca="1">IF(AT58&gt;Design!$C$28,Design!$C$28,AT58)</f>
        <v>3.3239005736137672</v>
      </c>
    </row>
    <row r="59" spans="1:47" ht="12.75" customHeight="1">
      <c r="A59" s="155">
        <f>Design!$D$13</f>
        <v>85</v>
      </c>
      <c r="B59" s="156">
        <f t="shared" si="12"/>
        <v>9.5400000000000009</v>
      </c>
      <c r="C59" s="157">
        <f>Design!$D$6</f>
        <v>3.5</v>
      </c>
      <c r="D59" s="157">
        <f ca="1">FORECAST(C59, OFFSET(Design!$C$15:$C$17,MATCH(C59,Design!$B$15:$B$17,1)-1,0,2), OFFSET(Design!$B$15:$B$17,MATCH(C59,Design!$B$15:$B$17,1)-1,0,2))+(M59-25)*Design!$B$18/1000</f>
        <v>0.39091759970430701</v>
      </c>
      <c r="E59" s="216">
        <f ca="1">IF(100*(Design!$C$28+D59+C59*IF(ISBLANK(Design!$B$40),Constants!$C$6,Design!$B$40)/1000*(1+Constants!$C$31/100*(N59-25)))/($B59+D59-C59*O59/1000)&gt;Design!$C$35,Design!$C$35,100*(Design!$C$28+D59+C59*IF(ISBLANK(Design!$B$40),Constants!$C$6,Design!$B$40)/1000*(1+Constants!$C$31/100*(N59-25)))/($B59+D59-C59*O59/1000))</f>
        <v>40.269831543230758</v>
      </c>
      <c r="F59" s="158">
        <f ca="1">IF(($B59-C59*IF(ISBLANK(Design!$B$40),Constants!$C$6,Design!$B$40)/1000*(1+Constants!$C$31/100*(N59-25))-Design!$C$28)/(IF(ISBLANK(Design!$B$39),Design!$B$38,Design!$B$39)/1000000)*E59/100/(IF(ISBLANK(Design!$B$32),Design!$B$31,Design!$B$32)*1000000)&lt;0,0,($B59-C59*IF(ISBLANK(Design!$B$40),Constants!$C$6,Design!$B$40)/1000*(1+Constants!$C$31/100*(N59-25))-Design!$C$28)/(IF(ISBLANK(Design!$B$39),Design!$B$38,Design!$B$39)/1000000)*E59/100/(IF(ISBLANK(Design!$B$32),Design!$B$31,Design!$B$32)*1000000))</f>
        <v>0.5599975356367789</v>
      </c>
      <c r="G59" s="208">
        <f>B59*Constants!$C$18/1000+IF(ISBLANK(Design!$B$32),Design!$B$31,Design!$B$32)*1000000*Constants!$D$22/1000000000*(B59-Constants!$C$21)</f>
        <v>7.4020000000000016E-2</v>
      </c>
      <c r="H59" s="208">
        <f>B59*C59*(B59/(Constants!$C$23*1000000000)*IF(ISBLANK(Design!$B$32),Design!$B$31,Design!$B$32)*1000000/2+B59/(Constants!$C$24*1000000000)*IF(ISBLANK(Design!$B$32),Design!$B$31,Design!$B$32)*1000000/2)</f>
        <v>0.38520260526315792</v>
      </c>
      <c r="I59" s="208">
        <f t="shared" ca="1" si="13"/>
        <v>0.65569857704412171</v>
      </c>
      <c r="J59" s="208">
        <f>Constants!$D$22/1000000000*Constants!$C$21*IF(ISBLANK(Design!$B$32),Design!$B$31,Design!$B$32)*1000000</f>
        <v>4.9999999999999996E-2</v>
      </c>
      <c r="K59" s="208">
        <f t="shared" ca="1" si="22"/>
        <v>1.1649211823072798</v>
      </c>
      <c r="L59" s="208">
        <f t="shared" ca="1" si="17"/>
        <v>0.817235092906895</v>
      </c>
      <c r="M59" s="209">
        <f ca="1">$A59+L59*Design!$B$19</f>
        <v>131.58240029569302</v>
      </c>
      <c r="N59" s="209">
        <f ca="1">K59*Design!$C$12+A59</f>
        <v>124.60732019844751</v>
      </c>
      <c r="O59" s="209">
        <f ca="1">Constants!$D$19+Constants!$D$19*Constants!$C$20/100*(N59-25)</f>
        <v>132.6364347908752</v>
      </c>
      <c r="P59" s="208">
        <f ca="1">(1-Constants!$D$17/1000000000*Design!$B$32*1000000) * ($B59+D59-C59*O59/1000) - (D59+C59*(1+($A59-25)*Constants!$C$31/100)*IF(ISBLANK(Design!$B$40),Constants!$C$6/1000,Design!$B$40/1000))</f>
        <v>6.7172608595272401</v>
      </c>
      <c r="Q59" s="158">
        <f ca="1">IF(P59&gt;Design!$C$28,Design!$C$28,P59)</f>
        <v>3.3239005736137672</v>
      </c>
      <c r="R59" s="159">
        <f>2*Design!$D$6/3</f>
        <v>2.3333333333333335</v>
      </c>
      <c r="S59" s="159">
        <f ca="1">FORECAST(R59, OFFSET(Design!$C$15:$C$17,MATCH(R59,Design!$B$15:$B$17,1)-1,0,2), OFFSET(Design!$B$15:$B$17,MATCH(R59,Design!$B$15:$B$17,1)-1,0,2))+(AB59-25)*Design!$B$18/1000</f>
        <v>0.37772869671565146</v>
      </c>
      <c r="T59" s="225">
        <f ca="1">IF(100*(Design!$C$28+S59+R59*IF(ISBLANK(Design!$B$40),Constants!$C$6,Design!$B$40)/1000*(1+Constants!$C$31/100*(AC59-25)))/($B59+S59-R59*AD59/1000)&gt;Design!$C$35,Design!$C$35,100*(Design!$C$28+S59+R59*IF(ISBLANK(Design!$B$40),Constants!$C$6,Design!$B$40)/1000*(1+Constants!$C$31/100*(AC59-25)))/($B59+S59-R59*AD59/1000))</f>
        <v>39.080601564611847</v>
      </c>
      <c r="U59" s="160">
        <f ca="1">IF(($B59-R59*IF(ISBLANK(Design!$B$40),Constants!$C$6,Design!$B$40)/1000*(1+Constants!$C$31/100*(AC59-25))-Design!$C$28)/(IF(ISBLANK(Design!$B$39),Design!$B$38,Design!$B$39)/1000000)*T59/100/(IF(ISBLANK(Design!$B$32),Design!$B$31,Design!$B$32)*1000000)&lt;0,0,($B59-R59*IF(ISBLANK(Design!$B$40),Constants!$C$6,Design!$B$40)/1000*(1+Constants!$C$31/100*(AC59-25))-Design!$C$28)/(IF(ISBLANK(Design!$B$39),Design!$B$38,Design!$B$39)/1000000)*T59/100/(IF(ISBLANK(Design!$B$32),Design!$B$31,Design!$B$32)*1000000))</f>
        <v>0.54663178674778667</v>
      </c>
      <c r="V59" s="226">
        <f>$B59*Constants!$C$18/1000+IF(ISBLANK(Design!$B$32),Design!$B$31,Design!$B$32)*1000000*Constants!$D$22/1000000000*($B59-Constants!$C$21)</f>
        <v>7.4020000000000016E-2</v>
      </c>
      <c r="W59" s="226">
        <f>$B59*R59*($B59/(Constants!$C$23*1000000000)*IF(ISBLANK(Design!$B$32),Design!$B$31,Design!$B$32)*1000000/2+$B59/(Constants!$C$24*1000000000)*IF(ISBLANK(Design!$B$32),Design!$B$31,Design!$B$32)*1000000/2)</f>
        <v>0.25680173684210533</v>
      </c>
      <c r="X59" s="226">
        <f t="shared" ca="1" si="14"/>
        <v>0.26390644019651111</v>
      </c>
      <c r="Y59" s="226">
        <f>Constants!$D$22/1000000000*Constants!$C$21*IF(ISBLANK(Design!$B$32),Design!$B$31,Design!$B$32)*1000000</f>
        <v>4.9999999999999996E-2</v>
      </c>
      <c r="Z59" s="226">
        <f t="shared" ca="1" si="23"/>
        <v>0.64472817703861651</v>
      </c>
      <c r="AA59" s="226">
        <f t="shared" ca="1" si="19"/>
        <v>0.53692344943301562</v>
      </c>
      <c r="AB59" s="227">
        <f ca="1">$A59+AA59*Design!$B$19</f>
        <v>115.60463661768189</v>
      </c>
      <c r="AC59" s="227">
        <f ca="1">Z59*Design!$C$12+$A59</f>
        <v>106.92075801931296</v>
      </c>
      <c r="AD59" s="227">
        <f ca="1">Constants!$D$19+Constants!$D$19*Constants!$C$20/100*(AC59-25)</f>
        <v>123.46772095721184</v>
      </c>
      <c r="AE59" s="226">
        <f ca="1">(1-Constants!$D$17/1000000000*Design!$B$32*1000000) * ($B59+S59-R59*AD59/1000) - (S59+R59*(1+($A59-25)*Constants!$C$31/100)*IF(ISBLANK(Design!$B$40),Constants!$C$6/1000,Design!$B$40/1000))</f>
        <v>6.883125020957455</v>
      </c>
      <c r="AF59" s="160">
        <f ca="1">IF(AE59&gt;Design!$C$28,Design!$C$28,AE59)</f>
        <v>3.3239005736137672</v>
      </c>
      <c r="AG59" s="161">
        <f>Design!$D$6/3</f>
        <v>1.1666666666666667</v>
      </c>
      <c r="AH59" s="161">
        <f ca="1">FORECAST(AG59, OFFSET(Design!$C$15:$C$17,MATCH(AG59,Design!$B$15:$B$17,1)-1,0,2), OFFSET(Design!$B$15:$B$17,MATCH(AG59,Design!$B$15:$B$17,1)-1,0,2))+(AQ59-25)*Design!$B$18/1000</f>
        <v>0.32187092713041038</v>
      </c>
      <c r="AI59" s="239">
        <f ca="1">IF(100*(Design!$C$28+AH59+AG59*IF(ISBLANK(Design!$B$40),Constants!$C$6,Design!$B$40)/1000*(1+Constants!$C$31/100*(AR59-25)))/($B59+AH59-AG59*AS59/1000)&gt;Design!$C$35,Design!$C$35,100*(Design!$C$28+AH59+AG59*IF(ISBLANK(Design!$B$40),Constants!$C$6,Design!$B$40)/1000*(1+Constants!$C$31/100*(AR59-25)))/($B59+AH59-AG59*AS59/1000))</f>
        <v>37.79667874209737</v>
      </c>
      <c r="AJ59" s="162">
        <f ca="1">IF(($B59-AG59*IF(ISBLANK(Design!$B$40),Constants!$C$6,Design!$B$40)/1000*(1+Constants!$C$31/100*(AR59-25))-Design!$C$28)/(IF(ISBLANK(Design!$B$39),Design!$B$38,Design!$B$39)/1000000)*AI59/100/(IF(ISBLANK(Design!$B$32),Design!$B$31,Design!$B$32)*1000000)&lt;0,0,($B59-AG59*IF(ISBLANK(Design!$B$40),Constants!$C$6,Design!$B$40)/1000*(1+Constants!$C$31/100*(AR59-25))-Design!$C$28)/(IF(ISBLANK(Design!$B$39),Design!$B$38,Design!$B$39)/1000000)*AI59/100/(IF(ISBLANK(Design!$B$32),Design!$B$31,Design!$B$32)*1000000))</f>
        <v>0.53141143690077863</v>
      </c>
      <c r="AK59" s="240">
        <f>$B59*Constants!$C$18/1000+IF(ISBLANK(Design!$B$32),Design!$B$31,Design!$B$32)*1000000*Constants!$D$22/1000000000*($B59-Constants!$C$21)</f>
        <v>7.4020000000000016E-2</v>
      </c>
      <c r="AL59" s="240">
        <f>$B59*AG59*($B59/(Constants!$C$23*1000000000)*IF(ISBLANK(Design!$B$32),Design!$B$31,Design!$B$32)*1000000/2+$B59/(Constants!$C$24*1000000000)*IF(ISBLANK(Design!$B$32),Design!$B$31,Design!$B$32)*1000000/2)</f>
        <v>0.12840086842105267</v>
      </c>
      <c r="AM59" s="240">
        <f t="shared" ca="1" si="15"/>
        <v>6.1565902121840745E-2</v>
      </c>
      <c r="AN59" s="240">
        <f>Constants!$D$22/1000000000*Constants!$C$21*IF(ISBLANK(Design!$B$32),Design!$B$31,Design!$B$32)*1000000</f>
        <v>4.9999999999999996E-2</v>
      </c>
      <c r="AO59" s="240">
        <f t="shared" ca="1" si="24"/>
        <v>0.31398677054289342</v>
      </c>
      <c r="AP59" s="240">
        <f t="shared" ca="1" si="21"/>
        <v>0.23358347464517196</v>
      </c>
      <c r="AQ59" s="241">
        <f ca="1">$A59+AP59*Design!$B$19</f>
        <v>98.314258054774797</v>
      </c>
      <c r="AR59" s="241">
        <f ca="1">AO59*Design!$C$12+$A59</f>
        <v>95.675550198458382</v>
      </c>
      <c r="AS59" s="241">
        <f ca="1">Constants!$D$19+Constants!$D$19*Constants!$C$20/100*(AR59-25)</f>
        <v>117.63820522288083</v>
      </c>
      <c r="AT59" s="240">
        <f ca="1">(1-Constants!$D$17/1000000000*Design!$B$32*1000000) * ($B59+AH59-AG59*AS59/1000) - (AH59+AG59*(1+($A59-25)*Constants!$C$31/100)*IF(ISBLANK(Design!$B$40),Constants!$C$6/1000,Design!$B$40/1000))</f>
        <v>7.0400097688577485</v>
      </c>
      <c r="AU59" s="162">
        <f ca="1">IF(AT59&gt;Design!$C$28,Design!$C$28,AT59)</f>
        <v>3.3239005736137672</v>
      </c>
    </row>
    <row r="60" spans="1:47" ht="12.75" customHeight="1">
      <c r="A60" s="155">
        <f>Design!$D$13</f>
        <v>85</v>
      </c>
      <c r="B60" s="156">
        <f t="shared" si="12"/>
        <v>9.3350000000000009</v>
      </c>
      <c r="C60" s="157">
        <f>Design!$D$6</f>
        <v>3.5</v>
      </c>
      <c r="D60" s="157">
        <f ca="1">FORECAST(C60, OFFSET(Design!$C$15:$C$17,MATCH(C60,Design!$B$15:$B$17,1)-1,0,2), OFFSET(Design!$B$15:$B$17,MATCH(C60,Design!$B$15:$B$17,1)-1,0,2))+(M60-25)*Design!$B$18/1000</f>
        <v>0.39154117820204043</v>
      </c>
      <c r="E60" s="216">
        <f ca="1">IF(100*(Design!$C$28+D60+C60*IF(ISBLANK(Design!$B$40),Constants!$C$6,Design!$B$40)/1000*(1+Constants!$C$31/100*(N60-25)))/($B60+D60-C60*O60/1000)&gt;Design!$C$35,Design!$C$35,100*(Design!$C$28+D60+C60*IF(ISBLANK(Design!$B$40),Constants!$C$6,Design!$B$40)/1000*(1+Constants!$C$31/100*(N60-25)))/($B60+D60-C60*O60/1000))</f>
        <v>41.16326790125985</v>
      </c>
      <c r="F60" s="158">
        <f ca="1">IF(($B60-C60*IF(ISBLANK(Design!$B$40),Constants!$C$6,Design!$B$40)/1000*(1+Constants!$C$31/100*(N60-25))-Design!$C$28)/(IF(ISBLANK(Design!$B$39),Design!$B$38,Design!$B$39)/1000000)*E60/100/(IF(ISBLANK(Design!$B$32),Design!$B$31,Design!$B$32)*1000000)&lt;0,0,($B60-C60*IF(ISBLANK(Design!$B$40),Constants!$C$6,Design!$B$40)/1000*(1+Constants!$C$31/100*(N60-25))-Design!$C$28)/(IF(ISBLANK(Design!$B$39),Design!$B$38,Design!$B$39)/1000000)*E60/100/(IF(ISBLANK(Design!$B$32),Design!$B$31,Design!$B$32)*1000000))</f>
        <v>0.55324778774696537</v>
      </c>
      <c r="G60" s="208">
        <f>B60*Constants!$C$18/1000+IF(ISBLANK(Design!$B$32),Design!$B$31,Design!$B$32)*1000000*Constants!$D$22/1000000000*(B60-Constants!$C$21)</f>
        <v>7.1355000000000002E-2</v>
      </c>
      <c r="H60" s="208">
        <f>B60*C60*(B60/(Constants!$C$23*1000000000)*IF(ISBLANK(Design!$B$32),Design!$B$31,Design!$B$32)*1000000/2+B60/(Constants!$C$24*1000000000)*IF(ISBLANK(Design!$B$32),Design!$B$31,Design!$B$32)*1000000/2)</f>
        <v>0.36882564528508777</v>
      </c>
      <c r="I60" s="208">
        <f t="shared" ca="1" si="13"/>
        <v>0.66976911304904552</v>
      </c>
      <c r="J60" s="208">
        <f>Constants!$D$22/1000000000*Constants!$C$21*IF(ISBLANK(Design!$B$32),Design!$B$31,Design!$B$32)*1000000</f>
        <v>4.9999999999999996E-2</v>
      </c>
      <c r="K60" s="208">
        <f t="shared" ca="1" si="22"/>
        <v>1.1599497583341334</v>
      </c>
      <c r="L60" s="208">
        <f t="shared" ca="1" si="17"/>
        <v>0.80629511926244857</v>
      </c>
      <c r="M60" s="209">
        <f ca="1">$A60+L60*Design!$B$19</f>
        <v>130.95882179795956</v>
      </c>
      <c r="N60" s="209">
        <f ca="1">K60*Design!$C$12+A60</f>
        <v>124.43829178336054</v>
      </c>
      <c r="O60" s="209">
        <f ca="1">Constants!$D$19+Constants!$D$19*Constants!$C$20/100*(N60-25)</f>
        <v>132.54881046049411</v>
      </c>
      <c r="P60" s="208">
        <f ca="1">(1-Constants!$D$17/1000000000*Design!$B$32*1000000) * ($B60+D60-C60*O60/1000) - (D60+C60*(1+($A60-25)*Constants!$C$31/100)*IF(ISBLANK(Design!$B$40),Constants!$C$6/1000,Design!$B$40/1000))</f>
        <v>6.5615442814065963</v>
      </c>
      <c r="Q60" s="158">
        <f ca="1">IF(P60&gt;Design!$C$28,Design!$C$28,P60)</f>
        <v>3.3239005736137672</v>
      </c>
      <c r="R60" s="159">
        <f>2*Design!$D$6/3</f>
        <v>2.3333333333333335</v>
      </c>
      <c r="S60" s="159">
        <f ca="1">FORECAST(R60, OFFSET(Design!$C$15:$C$17,MATCH(R60,Design!$B$15:$B$17,1)-1,0,2), OFFSET(Design!$B$15:$B$17,MATCH(R60,Design!$B$15:$B$17,1)-1,0,2))+(AB60-25)*Design!$B$18/1000</f>
        <v>0.37812441420718024</v>
      </c>
      <c r="T60" s="225">
        <f ca="1">IF(100*(Design!$C$28+S60+R60*IF(ISBLANK(Design!$B$40),Constants!$C$6,Design!$B$40)/1000*(1+Constants!$C$31/100*(AC60-25)))/($B60+S60-R60*AD60/1000)&gt;Design!$C$35,Design!$C$35,100*(Design!$C$28+S60+R60*IF(ISBLANK(Design!$B$40),Constants!$C$6,Design!$B$40)/1000*(1+Constants!$C$31/100*(AC60-25)))/($B60+S60-R60*AD60/1000))</f>
        <v>39.931217943685141</v>
      </c>
      <c r="U60" s="160">
        <f ca="1">IF(($B60-R60*IF(ISBLANK(Design!$B$40),Constants!$C$6,Design!$B$40)/1000*(1+Constants!$C$31/100*(AC60-25))-Design!$C$28)/(IF(ISBLANK(Design!$B$39),Design!$B$38,Design!$B$39)/1000000)*T60/100/(IF(ISBLANK(Design!$B$32),Design!$B$31,Design!$B$32)*1000000)&lt;0,0,($B60-R60*IF(ISBLANK(Design!$B$40),Constants!$C$6,Design!$B$40)/1000*(1+Constants!$C$31/100*(AC60-25))-Design!$C$28)/(IF(ISBLANK(Design!$B$39),Design!$B$38,Design!$B$39)/1000000)*T60/100/(IF(ISBLANK(Design!$B$32),Design!$B$31,Design!$B$32)*1000000))</f>
        <v>0.53992992017712305</v>
      </c>
      <c r="V60" s="226">
        <f>$B60*Constants!$C$18/1000+IF(ISBLANK(Design!$B$32),Design!$B$31,Design!$B$32)*1000000*Constants!$D$22/1000000000*($B60-Constants!$C$21)</f>
        <v>7.1355000000000002E-2</v>
      </c>
      <c r="W60" s="226">
        <f>$B60*R60*($B60/(Constants!$C$23*1000000000)*IF(ISBLANK(Design!$B$32),Design!$B$31,Design!$B$32)*1000000/2+$B60/(Constants!$C$24*1000000000)*IF(ISBLANK(Design!$B$32),Design!$B$31,Design!$B$32)*1000000/2)</f>
        <v>0.24588376352339189</v>
      </c>
      <c r="X60" s="226">
        <f t="shared" ca="1" si="14"/>
        <v>0.2693056382333226</v>
      </c>
      <c r="Y60" s="226">
        <f>Constants!$D$22/1000000000*Constants!$C$21*IF(ISBLANK(Design!$B$32),Design!$B$31,Design!$B$32)*1000000</f>
        <v>4.9999999999999996E-2</v>
      </c>
      <c r="Z60" s="226">
        <f t="shared" ca="1" si="23"/>
        <v>0.63654440175671456</v>
      </c>
      <c r="AA60" s="226">
        <f t="shared" ca="1" si="19"/>
        <v>0.52998103730093282</v>
      </c>
      <c r="AB60" s="227">
        <f ca="1">$A60+AA60*Design!$B$19</f>
        <v>115.20891912615318</v>
      </c>
      <c r="AC60" s="227">
        <f ca="1">Z60*Design!$C$12+$A60</f>
        <v>106.64250965972829</v>
      </c>
      <c r="AD60" s="227">
        <f ca="1">Constants!$D$19+Constants!$D$19*Constants!$C$20/100*(AC60-25)</f>
        <v>123.32347700760315</v>
      </c>
      <c r="AE60" s="226">
        <f ca="1">(1-Constants!$D$17/1000000000*Design!$B$32*1000000) * ($B60+S60-R60*AD60/1000) - (S60+R60*(1+($A60-25)*Constants!$C$31/100)*IF(ISBLANK(Design!$B$40),Constants!$C$6/1000,Design!$B$40/1000))</f>
        <v>6.7274858413634613</v>
      </c>
      <c r="AF60" s="160">
        <f ca="1">IF(AE60&gt;Design!$C$28,Design!$C$28,AE60)</f>
        <v>3.3239005736137672</v>
      </c>
      <c r="AG60" s="161">
        <f>Design!$D$6/3</f>
        <v>1.1666666666666667</v>
      </c>
      <c r="AH60" s="161">
        <f ca="1">FORECAST(AG60, OFFSET(Design!$C$15:$C$17,MATCH(AG60,Design!$B$15:$B$17,1)-1,0,2), OFFSET(Design!$B$15:$B$17,MATCH(AG60,Design!$B$15:$B$17,1)-1,0,2))+(AQ60-25)*Design!$B$18/1000</f>
        <v>0.32203836857764068</v>
      </c>
      <c r="AI60" s="239">
        <f ca="1">IF(100*(Design!$C$28+AH60+AG60*IF(ISBLANK(Design!$B$40),Constants!$C$6,Design!$B$40)/1000*(1+Constants!$C$31/100*(AR60-25)))/($B60+AH60-AG60*AS60/1000)&gt;Design!$C$35,Design!$C$35,100*(Design!$C$28+AH60+AG60*IF(ISBLANK(Design!$B$40),Constants!$C$6,Design!$B$40)/1000*(1+Constants!$C$31/100*(AR60-25)))/($B60+AH60-AG60*AS60/1000))</f>
        <v>38.610889375638997</v>
      </c>
      <c r="AJ60" s="162">
        <f ca="1">IF(($B60-AG60*IF(ISBLANK(Design!$B$40),Constants!$C$6,Design!$B$40)/1000*(1+Constants!$C$31/100*(AR60-25))-Design!$C$28)/(IF(ISBLANK(Design!$B$39),Design!$B$38,Design!$B$39)/1000000)*AI60/100/(IF(ISBLANK(Design!$B$32),Design!$B$31,Design!$B$32)*1000000)&lt;0,0,($B60-AG60*IF(ISBLANK(Design!$B$40),Constants!$C$6,Design!$B$40)/1000*(1+Constants!$C$31/100*(AR60-25))-Design!$C$28)/(IF(ISBLANK(Design!$B$39),Design!$B$38,Design!$B$39)/1000000)*AI60/100/(IF(ISBLANK(Design!$B$32),Design!$B$31,Design!$B$32)*1000000))</f>
        <v>0.52487174622618737</v>
      </c>
      <c r="AK60" s="240">
        <f>$B60*Constants!$C$18/1000+IF(ISBLANK(Design!$B$32),Design!$B$31,Design!$B$32)*1000000*Constants!$D$22/1000000000*($B60-Constants!$C$21)</f>
        <v>7.1355000000000002E-2</v>
      </c>
      <c r="AL60" s="240">
        <f>$B60*AG60*($B60/(Constants!$C$23*1000000000)*IF(ISBLANK(Design!$B$32),Design!$B$31,Design!$B$32)*1000000/2+$B60/(Constants!$C$24*1000000000)*IF(ISBLANK(Design!$B$32),Design!$B$31,Design!$B$32)*1000000/2)</f>
        <v>0.12294188176169595</v>
      </c>
      <c r="AM60" s="240">
        <f t="shared" ca="1" si="15"/>
        <v>6.2801113042364937E-2</v>
      </c>
      <c r="AN60" s="240">
        <f>Constants!$D$22/1000000000*Constants!$C$21*IF(ISBLANK(Design!$B$32),Design!$B$31,Design!$B$32)*1000000</f>
        <v>4.9999999999999996E-2</v>
      </c>
      <c r="AO60" s="240">
        <f t="shared" ca="1" si="24"/>
        <v>0.30709799480406091</v>
      </c>
      <c r="AP60" s="240">
        <f t="shared" ca="1" si="21"/>
        <v>0.23064590539551785</v>
      </c>
      <c r="AQ60" s="241">
        <f ca="1">$A60+AP60*Design!$B$19</f>
        <v>98.146816607544523</v>
      </c>
      <c r="AR60" s="241">
        <f ca="1">AO60*Design!$C$12+$A60</f>
        <v>95.441331823338075</v>
      </c>
      <c r="AS60" s="241">
        <f ca="1">Constants!$D$19+Constants!$D$19*Constants!$C$20/100*(AR60-25)</f>
        <v>117.51678641721847</v>
      </c>
      <c r="AT60" s="240">
        <f ca="1">(1-Constants!$D$17/1000000000*Design!$B$32*1000000) * ($B60+AH60-AG60*AS60/1000) - (AH60+AG60*(1+($A60-25)*Constants!$C$31/100)*IF(ISBLANK(Design!$B$40),Constants!$C$6/1000,Design!$B$40/1000))</f>
        <v>6.8842772409180997</v>
      </c>
      <c r="AU60" s="162">
        <f ca="1">IF(AT60&gt;Design!$C$28,Design!$C$28,AT60)</f>
        <v>3.3239005736137672</v>
      </c>
    </row>
    <row r="61" spans="1:47" ht="12.75" customHeight="1">
      <c r="A61" s="155">
        <f>Design!$D$13</f>
        <v>85</v>
      </c>
      <c r="B61" s="156">
        <f t="shared" si="12"/>
        <v>9.1300000000000008</v>
      </c>
      <c r="C61" s="157">
        <f>Design!$D$6</f>
        <v>3.5</v>
      </c>
      <c r="D61" s="157">
        <f ca="1">FORECAST(C61, OFFSET(Design!$C$15:$C$17,MATCH(C61,Design!$B$15:$B$17,1)-1,0,2), OFFSET(Design!$B$15:$B$17,MATCH(C61,Design!$B$15:$B$17,1)-1,0,2))+(M61-25)*Design!$B$18/1000</f>
        <v>0.39219541989834428</v>
      </c>
      <c r="E61" s="216">
        <f ca="1">IF(100*(Design!$C$28+D61+C61*IF(ISBLANK(Design!$B$40),Constants!$C$6,Design!$B$40)/1000*(1+Constants!$C$31/100*(N61-25)))/($B61+D61-C61*O61/1000)&gt;Design!$C$35,Design!$C$35,100*(Design!$C$28+D61+C61*IF(ISBLANK(Design!$B$40),Constants!$C$6,Design!$B$40)/1000*(1+Constants!$C$31/100*(N61-25)))/($B61+D61-C61*O61/1000))</f>
        <v>42.097583104150026</v>
      </c>
      <c r="F61" s="158">
        <f ca="1">IF(($B61-C61*IF(ISBLANK(Design!$B$40),Constants!$C$6,Design!$B$40)/1000*(1+Constants!$C$31/100*(N61-25))-Design!$C$28)/(IF(ISBLANK(Design!$B$39),Design!$B$38,Design!$B$39)/1000000)*E61/100/(IF(ISBLANK(Design!$B$32),Design!$B$31,Design!$B$32)*1000000)&lt;0,0,($B61-C61*IF(ISBLANK(Design!$B$40),Constants!$C$6,Design!$B$40)/1000*(1+Constants!$C$31/100*(N61-25))-Design!$C$28)/(IF(ISBLANK(Design!$B$39),Design!$B$38,Design!$B$39)/1000000)*E61/100/(IF(ISBLANK(Design!$B$32),Design!$B$31,Design!$B$32)*1000000))</f>
        <v>0.54619510877044475</v>
      </c>
      <c r="G61" s="208">
        <f>B61*Constants!$C$18/1000+IF(ISBLANK(Design!$B$32),Design!$B$31,Design!$B$32)*1000000*Constants!$D$22/1000000000*(B61-Constants!$C$21)</f>
        <v>6.8690000000000015E-2</v>
      </c>
      <c r="H61" s="208">
        <f>B61*C61*(B61/(Constants!$C$23*1000000000)*IF(ISBLANK(Design!$B$32),Design!$B$31,Design!$B$32)*1000000/2+B61/(Constants!$C$24*1000000000)*IF(ISBLANK(Design!$B$32),Design!$B$31,Design!$B$32)*1000000/2)</f>
        <v>0.35280442324561412</v>
      </c>
      <c r="I61" s="208">
        <f t="shared" ca="1" si="13"/>
        <v>0.68458261229094075</v>
      </c>
      <c r="J61" s="208">
        <f>Constants!$D$22/1000000000*Constants!$C$21*IF(ISBLANK(Design!$B$32),Design!$B$31,Design!$B$32)*1000000</f>
        <v>4.9999999999999996E-2</v>
      </c>
      <c r="K61" s="208">
        <f t="shared" ca="1" si="22"/>
        <v>1.1560770355365551</v>
      </c>
      <c r="L61" s="208">
        <f t="shared" ca="1" si="17"/>
        <v>0.7948171947658903</v>
      </c>
      <c r="M61" s="209">
        <f ca="1">$A61+L61*Design!$B$19</f>
        <v>130.30458010165574</v>
      </c>
      <c r="N61" s="209">
        <f ca="1">K61*Design!$C$12+A61</f>
        <v>124.30661920824286</v>
      </c>
      <c r="O61" s="209">
        <f ca="1">Constants!$D$19+Constants!$D$19*Constants!$C$20/100*(N61-25)</f>
        <v>132.48055139755311</v>
      </c>
      <c r="P61" s="208">
        <f ca="1">(1-Constants!$D$17/1000000000*Design!$B$32*1000000) * ($B61+D61-C61*O61/1000) - (D61+C61*(1+($A61-25)*Constants!$C$31/100)*IF(ISBLANK(Design!$B$40),Constants!$C$6/1000,Design!$B$40/1000))</f>
        <v>6.4057688325069062</v>
      </c>
      <c r="Q61" s="158">
        <f ca="1">IF(P61&gt;Design!$C$28,Design!$C$28,P61)</f>
        <v>3.3239005736137672</v>
      </c>
      <c r="R61" s="159">
        <f>2*Design!$D$6/3</f>
        <v>2.3333333333333335</v>
      </c>
      <c r="S61" s="159">
        <f ca="1">FORECAST(R61, OFFSET(Design!$C$15:$C$17,MATCH(R61,Design!$B$15:$B$17,1)-1,0,2), OFFSET(Design!$B$15:$B$17,MATCH(R61,Design!$B$15:$B$17,1)-1,0,2))+(AB61-25)*Design!$B$18/1000</f>
        <v>0.37853866311349182</v>
      </c>
      <c r="T61" s="225">
        <f ca="1">IF(100*(Design!$C$28+S61+R61*IF(ISBLANK(Design!$B$40),Constants!$C$6,Design!$B$40)/1000*(1+Constants!$C$31/100*(AC61-25)))/($B61+S61-R61*AD61/1000)&gt;Design!$C$35,Design!$C$35,100*(Design!$C$28+S61+R61*IF(ISBLANK(Design!$B$40),Constants!$C$6,Design!$B$40)/1000*(1+Constants!$C$31/100*(AC61-25)))/($B61+S61-R61*AD61/1000))</f>
        <v>40.81976329753428</v>
      </c>
      <c r="U61" s="160">
        <f ca="1">IF(($B61-R61*IF(ISBLANK(Design!$B$40),Constants!$C$6,Design!$B$40)/1000*(1+Constants!$C$31/100*(AC61-25))-Design!$C$28)/(IF(ISBLANK(Design!$B$39),Design!$B$38,Design!$B$39)/1000000)*T61/100/(IF(ISBLANK(Design!$B$32),Design!$B$31,Design!$B$32)*1000000)&lt;0,0,($B61-R61*IF(ISBLANK(Design!$B$40),Constants!$C$6,Design!$B$40)/1000*(1+Constants!$C$31/100*(AC61-25))-Design!$C$28)/(IF(ISBLANK(Design!$B$39),Design!$B$38,Design!$B$39)/1000000)*T61/100/(IF(ISBLANK(Design!$B$32),Design!$B$31,Design!$B$32)*1000000))</f>
        <v>0.53293053336724383</v>
      </c>
      <c r="V61" s="226">
        <f>$B61*Constants!$C$18/1000+IF(ISBLANK(Design!$B$32),Design!$B$31,Design!$B$32)*1000000*Constants!$D$22/1000000000*($B61-Constants!$C$21)</f>
        <v>6.8690000000000015E-2</v>
      </c>
      <c r="W61" s="226">
        <f>$B61*R61*($B61/(Constants!$C$23*1000000000)*IF(ISBLANK(Design!$B$32),Design!$B$31,Design!$B$32)*1000000/2+$B61/(Constants!$C$24*1000000000)*IF(ISBLANK(Design!$B$32),Design!$B$31,Design!$B$32)*1000000/2)</f>
        <v>0.23520294883040943</v>
      </c>
      <c r="X61" s="226">
        <f t="shared" ca="1" si="14"/>
        <v>0.27496427171228149</v>
      </c>
      <c r="Y61" s="226">
        <f>Constants!$D$22/1000000000*Constants!$C$21*IF(ISBLANK(Design!$B$32),Design!$B$31,Design!$B$32)*1000000</f>
        <v>4.9999999999999996E-2</v>
      </c>
      <c r="Z61" s="226">
        <f t="shared" ca="1" si="23"/>
        <v>0.628857220542691</v>
      </c>
      <c r="AA61" s="226">
        <f t="shared" ca="1" si="19"/>
        <v>0.52271351262879884</v>
      </c>
      <c r="AB61" s="227">
        <f ca="1">$A61+AA61*Design!$B$19</f>
        <v>114.79467021984154</v>
      </c>
      <c r="AC61" s="227">
        <f ca="1">Z61*Design!$C$12+$A61</f>
        <v>106.3811454984515</v>
      </c>
      <c r="AD61" s="227">
        <f ca="1">Constants!$D$19+Constants!$D$19*Constants!$C$20/100*(AC61-25)</f>
        <v>123.18798582639727</v>
      </c>
      <c r="AE61" s="226">
        <f ca="1">(1-Constants!$D$17/1000000000*Design!$B$32*1000000) * ($B61+S61-R61*AD61/1000) - (S61+R61*(1+($A61-25)*Constants!$C$31/100)*IF(ISBLANK(Design!$B$40),Constants!$C$6/1000,Design!$B$40/1000))</f>
        <v>6.5718266926539508</v>
      </c>
      <c r="AF61" s="160">
        <f ca="1">IF(AE61&gt;Design!$C$28,Design!$C$28,AE61)</f>
        <v>3.3239005736137672</v>
      </c>
      <c r="AG61" s="161">
        <f>Design!$D$6/3</f>
        <v>1.1666666666666667</v>
      </c>
      <c r="AH61" s="161">
        <f ca="1">FORECAST(AG61, OFFSET(Design!$C$15:$C$17,MATCH(AG61,Design!$B$15:$B$17,1)-1,0,2), OFFSET(Design!$B$15:$B$17,MATCH(AG61,Design!$B$15:$B$17,1)-1,0,2))+(AQ61-25)*Design!$B$18/1000</f>
        <v>0.32221336906085224</v>
      </c>
      <c r="AI61" s="239">
        <f ca="1">IF(100*(Design!$C$28+AH61+AG61*IF(ISBLANK(Design!$B$40),Constants!$C$6,Design!$B$40)/1000*(1+Constants!$C$31/100*(AR61-25)))/($B61+AH61-AG61*AS61/1000)&gt;Design!$C$35,Design!$C$35,100*(Design!$C$28+AH61+AG61*IF(ISBLANK(Design!$B$40),Constants!$C$6,Design!$B$40)/1000*(1+Constants!$C$31/100*(AR61-25)))/($B61+AH61-AG61*AS61/1000))</f>
        <v>39.4609526309046</v>
      </c>
      <c r="AJ61" s="162">
        <f ca="1">IF(($B61-AG61*IF(ISBLANK(Design!$B$40),Constants!$C$6,Design!$B$40)/1000*(1+Constants!$C$31/100*(AR61-25))-Design!$C$28)/(IF(ISBLANK(Design!$B$39),Design!$B$38,Design!$B$39)/1000000)*AI61/100/(IF(ISBLANK(Design!$B$32),Design!$B$31,Design!$B$32)*1000000)&lt;0,0,($B61-AG61*IF(ISBLANK(Design!$B$40),Constants!$C$6,Design!$B$40)/1000*(1+Constants!$C$31/100*(AR61-25))-Design!$C$28)/(IF(ISBLANK(Design!$B$39),Design!$B$38,Design!$B$39)/1000000)*AI61/100/(IF(ISBLANK(Design!$B$32),Design!$B$31,Design!$B$32)*1000000))</f>
        <v>0.51804406402724901</v>
      </c>
      <c r="AK61" s="240">
        <f>$B61*Constants!$C$18/1000+IF(ISBLANK(Design!$B$32),Design!$B$31,Design!$B$32)*1000000*Constants!$D$22/1000000000*($B61-Constants!$C$21)</f>
        <v>6.8690000000000015E-2</v>
      </c>
      <c r="AL61" s="240">
        <f>$B61*AG61*($B61/(Constants!$C$23*1000000000)*IF(ISBLANK(Design!$B$32),Design!$B$31,Design!$B$32)*1000000/2+$B61/(Constants!$C$24*1000000000)*IF(ISBLANK(Design!$B$32),Design!$B$31,Design!$B$32)*1000000/2)</f>
        <v>0.11760147441520472</v>
      </c>
      <c r="AM61" s="240">
        <f t="shared" ca="1" si="15"/>
        <v>6.4091621113354744E-2</v>
      </c>
      <c r="AN61" s="240">
        <f>Constants!$D$22/1000000000*Constants!$C$21*IF(ISBLANK(Design!$B$32),Design!$B$31,Design!$B$32)*1000000</f>
        <v>4.9999999999999996E-2</v>
      </c>
      <c r="AO61" s="240">
        <f t="shared" ca="1" si="24"/>
        <v>0.30038309552855946</v>
      </c>
      <c r="AP61" s="240">
        <f t="shared" ca="1" si="21"/>
        <v>0.22757572147952546</v>
      </c>
      <c r="AQ61" s="241">
        <f ca="1">$A61+AP61*Design!$B$19</f>
        <v>97.971816124332946</v>
      </c>
      <c r="AR61" s="241">
        <f ca="1">AO61*Design!$C$12+$A61</f>
        <v>95.213025247971018</v>
      </c>
      <c r="AS61" s="241">
        <f ca="1">Constants!$D$19+Constants!$D$19*Constants!$C$20/100*(AR61-25)</f>
        <v>117.39843228854818</v>
      </c>
      <c r="AT61" s="240">
        <f ca="1">(1-Constants!$D$17/1000000000*Design!$B$32*1000000) * ($B61+AH61-AG61*AS61/1000) - (AH61+AG61*(1+($A61-25)*Constants!$C$31/100)*IF(ISBLANK(Design!$B$40),Constants!$C$6/1000,Design!$B$40/1000))</f>
        <v>6.7285401814628827</v>
      </c>
      <c r="AU61" s="162">
        <f ca="1">IF(AT61&gt;Design!$C$28,Design!$C$28,AT61)</f>
        <v>3.3239005736137672</v>
      </c>
    </row>
    <row r="62" spans="1:47" ht="12.75" customHeight="1">
      <c r="A62" s="155">
        <f>Design!$D$13</f>
        <v>85</v>
      </c>
      <c r="B62" s="156">
        <f t="shared" si="12"/>
        <v>8.9250000000000007</v>
      </c>
      <c r="C62" s="157">
        <f>Design!$D$6</f>
        <v>3.5</v>
      </c>
      <c r="D62" s="157">
        <f ca="1">FORECAST(C62, OFFSET(Design!$C$15:$C$17,MATCH(C62,Design!$B$15:$B$17,1)-1,0,2), OFFSET(Design!$B$15:$B$17,MATCH(C62,Design!$B$15:$B$17,1)-1,0,2))+(M62-25)*Design!$B$18/1000</f>
        <v>0.39288264751509661</v>
      </c>
      <c r="E62" s="216">
        <f ca="1">IF(100*(Design!$C$28+D62+C62*IF(ISBLANK(Design!$B$40),Constants!$C$6,Design!$B$40)/1000*(1+Constants!$C$31/100*(N62-25)))/($B62+D62-C62*O62/1000)&gt;Design!$C$35,Design!$C$35,100*(Design!$C$28+D62+C62*IF(ISBLANK(Design!$B$40),Constants!$C$6,Design!$B$40)/1000*(1+Constants!$C$31/100*(N62-25)))/($B62+D62-C62*O62/1000))</f>
        <v>43.07565413442785</v>
      </c>
      <c r="F62" s="158">
        <f ca="1">IF(($B62-C62*IF(ISBLANK(Design!$B$40),Constants!$C$6,Design!$B$40)/1000*(1+Constants!$C$31/100*(N62-25))-Design!$C$28)/(IF(ISBLANK(Design!$B$39),Design!$B$38,Design!$B$39)/1000000)*E62/100/(IF(ISBLANK(Design!$B$32),Design!$B$31,Design!$B$32)*1000000)&lt;0,0,($B62-C62*IF(ISBLANK(Design!$B$40),Constants!$C$6,Design!$B$40)/1000*(1+Constants!$C$31/100*(N62-25))-Design!$C$28)/(IF(ISBLANK(Design!$B$39),Design!$B$38,Design!$B$39)/1000000)*E62/100/(IF(ISBLANK(Design!$B$32),Design!$B$31,Design!$B$32)*1000000))</f>
        <v>0.53881824035733916</v>
      </c>
      <c r="G62" s="208">
        <f>B62*Constants!$C$18/1000+IF(ISBLANK(Design!$B$32),Design!$B$31,Design!$B$32)*1000000*Constants!$D$22/1000000000*(B62-Constants!$C$21)</f>
        <v>6.6025000000000014E-2</v>
      </c>
      <c r="H62" s="208">
        <f>B62*C62*(B62/(Constants!$C$23*1000000000)*IF(ISBLANK(Design!$B$32),Design!$B$31,Design!$B$32)*1000000/2+B62/(Constants!$C$24*1000000000)*IF(ISBLANK(Design!$B$32),Design!$B$31,Design!$B$32)*1000000/2)</f>
        <v>0.33713893914473692</v>
      </c>
      <c r="I62" s="208">
        <f t="shared" ca="1" si="13"/>
        <v>0.70019659705992987</v>
      </c>
      <c r="J62" s="208">
        <f>Constants!$D$22/1000000000*Constants!$C$21*IF(ISBLANK(Design!$B$32),Design!$B$31,Design!$B$32)*1000000</f>
        <v>4.9999999999999996E-2</v>
      </c>
      <c r="K62" s="208">
        <f t="shared" ca="1" si="22"/>
        <v>1.1533605362046668</v>
      </c>
      <c r="L62" s="208">
        <f t="shared" ca="1" si="17"/>
        <v>0.78276056991058607</v>
      </c>
      <c r="M62" s="209">
        <f ca="1">$A62+L62*Design!$B$19</f>
        <v>129.61735248490339</v>
      </c>
      <c r="N62" s="209">
        <f ca="1">K62*Design!$C$12+A62</f>
        <v>124.21425823095868</v>
      </c>
      <c r="O62" s="209">
        <f ca="1">Constants!$D$19+Constants!$D$19*Constants!$C$20/100*(N62-25)</f>
        <v>132.43267146692898</v>
      </c>
      <c r="P62" s="208">
        <f ca="1">(1-Constants!$D$17/1000000000*Design!$B$32*1000000) * ($B62+D62-C62*O62/1000) - (D62+C62*(1+($A62-25)*Constants!$C$31/100)*IF(ISBLANK(Design!$B$40),Constants!$C$6/1000,Design!$B$40/1000))</f>
        <v>6.2499312584943452</v>
      </c>
      <c r="Q62" s="158">
        <f ca="1">IF(P62&gt;Design!$C$28,Design!$C$28,P62)</f>
        <v>3.3239005736137672</v>
      </c>
      <c r="R62" s="159">
        <f>2*Design!$D$6/3</f>
        <v>2.3333333333333335</v>
      </c>
      <c r="S62" s="159">
        <f ca="1">FORECAST(R62, OFFSET(Design!$C$15:$C$17,MATCH(R62,Design!$B$15:$B$17,1)-1,0,2), OFFSET(Design!$B$15:$B$17,MATCH(R62,Design!$B$15:$B$17,1)-1,0,2))+(AB62-25)*Design!$B$18/1000</f>
        <v>0.37897277496692483</v>
      </c>
      <c r="T62" s="225">
        <f ca="1">IF(100*(Design!$C$28+S62+R62*IF(ISBLANK(Design!$B$40),Constants!$C$6,Design!$B$40)/1000*(1+Constants!$C$31/100*(AC62-25)))/($B62+S62-R62*AD62/1000)&gt;Design!$C$35,Design!$C$35,100*(Design!$C$28+S62+R62*IF(ISBLANK(Design!$B$40),Constants!$C$6,Design!$B$40)/1000*(1+Constants!$C$31/100*(AC62-25)))/($B62+S62-R62*AD62/1000))</f>
        <v>41.748829328917324</v>
      </c>
      <c r="U62" s="160">
        <f ca="1">IF(($B62-R62*IF(ISBLANK(Design!$B$40),Constants!$C$6,Design!$B$40)/1000*(1+Constants!$C$31/100*(AC62-25))-Design!$C$28)/(IF(ISBLANK(Design!$B$39),Design!$B$38,Design!$B$39)/1000000)*T62/100/(IF(ISBLANK(Design!$B$32),Design!$B$31,Design!$B$32)*1000000)&lt;0,0,($B62-R62*IF(ISBLANK(Design!$B$40),Constants!$C$6,Design!$B$40)/1000*(1+Constants!$C$31/100*(AC62-25))-Design!$C$28)/(IF(ISBLANK(Design!$B$39),Design!$B$38,Design!$B$39)/1000000)*T62/100/(IF(ISBLANK(Design!$B$32),Design!$B$31,Design!$B$32)*1000000))</f>
        <v>0.52561322394771492</v>
      </c>
      <c r="V62" s="226">
        <f>$B62*Constants!$C$18/1000+IF(ISBLANK(Design!$B$32),Design!$B$31,Design!$B$32)*1000000*Constants!$D$22/1000000000*($B62-Constants!$C$21)</f>
        <v>6.6025000000000014E-2</v>
      </c>
      <c r="W62" s="226">
        <f>$B62*R62*($B62/(Constants!$C$23*1000000000)*IF(ISBLANK(Design!$B$32),Design!$B$31,Design!$B$32)*1000000/2+$B62/(Constants!$C$24*1000000000)*IF(ISBLANK(Design!$B$32),Design!$B$31,Design!$B$32)*1000000/2)</f>
        <v>0.22475929276315795</v>
      </c>
      <c r="X62" s="226">
        <f t="shared" ca="1" si="14"/>
        <v>0.28090076517474982</v>
      </c>
      <c r="Y62" s="226">
        <f>Constants!$D$22/1000000000*Constants!$C$21*IF(ISBLANK(Design!$B$32),Design!$B$31,Design!$B$32)*1000000</f>
        <v>4.9999999999999996E-2</v>
      </c>
      <c r="Z62" s="226">
        <f t="shared" ca="1" si="23"/>
        <v>0.62168505793790785</v>
      </c>
      <c r="AA62" s="226">
        <f t="shared" ca="1" si="19"/>
        <v>0.51509751520015012</v>
      </c>
      <c r="AB62" s="227">
        <f ca="1">$A62+AA62*Design!$B$19</f>
        <v>114.36055836640855</v>
      </c>
      <c r="AC62" s="227">
        <f ca="1">Z62*Design!$C$12+$A62</f>
        <v>106.13729196988886</v>
      </c>
      <c r="AD62" s="227">
        <f ca="1">Constants!$D$19+Constants!$D$19*Constants!$C$20/100*(AC62-25)</f>
        <v>123.0615721571904</v>
      </c>
      <c r="AE62" s="226">
        <f ca="1">(1-Constants!$D$17/1000000000*Design!$B$32*1000000) * ($B62+S62-R62*AD62/1000) - (S62+R62*(1+($A62-25)*Constants!$C$31/100)*IF(ISBLANK(Design!$B$40),Constants!$C$6/1000,Design!$B$40/1000))</f>
        <v>6.4161466793825221</v>
      </c>
      <c r="AF62" s="160">
        <f ca="1">IF(AE62&gt;Design!$C$28,Design!$C$28,AE62)</f>
        <v>3.3239005736137672</v>
      </c>
      <c r="AG62" s="161">
        <f>Design!$D$6/3</f>
        <v>1.1666666666666667</v>
      </c>
      <c r="AH62" s="161">
        <f ca="1">FORECAST(AG62, OFFSET(Design!$C$15:$C$17,MATCH(AG62,Design!$B$15:$B$17,1)-1,0,2), OFFSET(Design!$B$15:$B$17,MATCH(AG62,Design!$B$15:$B$17,1)-1,0,2))+(AQ62-25)*Design!$B$18/1000</f>
        <v>0.32239645183724475</v>
      </c>
      <c r="AI62" s="239">
        <f ca="1">IF(100*(Design!$C$28+AH62+AG62*IF(ISBLANK(Design!$B$40),Constants!$C$6,Design!$B$40)/1000*(1+Constants!$C$31/100*(AR62-25)))/($B62+AH62-AG62*AS62/1000)&gt;Design!$C$35,Design!$C$35,100*(Design!$C$28+AH62+AG62*IF(ISBLANK(Design!$B$40),Constants!$C$6,Design!$B$40)/1000*(1+Constants!$C$31/100*(AR62-25)))/($B62+AH62-AG62*AS62/1000))</f>
        <v>40.349287787645203</v>
      </c>
      <c r="AJ62" s="162">
        <f ca="1">IF(($B62-AG62*IF(ISBLANK(Design!$B$40),Constants!$C$6,Design!$B$40)/1000*(1+Constants!$C$31/100*(AR62-25))-Design!$C$28)/(IF(ISBLANK(Design!$B$39),Design!$B$38,Design!$B$39)/1000000)*AI62/100/(IF(ISBLANK(Design!$B$32),Design!$B$31,Design!$B$32)*1000000)&lt;0,0,($B62-AG62*IF(ISBLANK(Design!$B$40),Constants!$C$6,Design!$B$40)/1000*(1+Constants!$C$31/100*(AR62-25))-Design!$C$28)/(IF(ISBLANK(Design!$B$39),Design!$B$38,Design!$B$39)/1000000)*AI62/100/(IF(ISBLANK(Design!$B$32),Design!$B$31,Design!$B$32)*1000000))</f>
        <v>0.51090891231806768</v>
      </c>
      <c r="AK62" s="240">
        <f>$B62*Constants!$C$18/1000+IF(ISBLANK(Design!$B$32),Design!$B$31,Design!$B$32)*1000000*Constants!$D$22/1000000000*($B62-Constants!$C$21)</f>
        <v>6.6025000000000014E-2</v>
      </c>
      <c r="AL62" s="240">
        <f>$B62*AG62*($B62/(Constants!$C$23*1000000000)*IF(ISBLANK(Design!$B$32),Design!$B$31,Design!$B$32)*1000000/2+$B62/(Constants!$C$24*1000000000)*IF(ISBLANK(Design!$B$32),Design!$B$31,Design!$B$32)*1000000/2)</f>
        <v>0.11237964638157898</v>
      </c>
      <c r="AM62" s="240">
        <f t="shared" ca="1" si="15"/>
        <v>6.5441162653592053E-2</v>
      </c>
      <c r="AN62" s="240">
        <f>Constants!$D$22/1000000000*Constants!$C$21*IF(ISBLANK(Design!$B$32),Design!$B$31,Design!$B$32)*1000000</f>
        <v>4.9999999999999996E-2</v>
      </c>
      <c r="AO62" s="240">
        <f t="shared" ca="1" si="24"/>
        <v>0.29384580903517105</v>
      </c>
      <c r="AP62" s="240">
        <f t="shared" ca="1" si="21"/>
        <v>0.22436374294632422</v>
      </c>
      <c r="AQ62" s="241">
        <f ca="1">$A62+AP62*Design!$B$19</f>
        <v>97.788733347940479</v>
      </c>
      <c r="AR62" s="241">
        <f ca="1">AO62*Design!$C$12+$A62</f>
        <v>94.990757507195809</v>
      </c>
      <c r="AS62" s="241">
        <f ca="1">Constants!$D$19+Constants!$D$19*Constants!$C$20/100*(AR62-25)</f>
        <v>117.28320869173032</v>
      </c>
      <c r="AT62" s="240">
        <f ca="1">(1-Constants!$D$17/1000000000*Design!$B$32*1000000) * ($B62+AH62-AG62*AS62/1000) - (AH62+AG62*(1+($A62-25)*Constants!$C$31/100)*IF(ISBLANK(Design!$B$40),Constants!$C$6/1000,Design!$B$40/1000))</f>
        <v>6.5727984065190617</v>
      </c>
      <c r="AU62" s="162">
        <f ca="1">IF(AT62&gt;Design!$C$28,Design!$C$28,AT62)</f>
        <v>3.3239005736137672</v>
      </c>
    </row>
    <row r="63" spans="1:47" ht="12.75" customHeight="1">
      <c r="A63" s="155">
        <f>Design!$D$13</f>
        <v>85</v>
      </c>
      <c r="B63" s="156">
        <f t="shared" si="12"/>
        <v>8.7200000000000006</v>
      </c>
      <c r="C63" s="157">
        <f>Design!$D$6</f>
        <v>3.5</v>
      </c>
      <c r="D63" s="157">
        <f ca="1">FORECAST(C63, OFFSET(Design!$C$15:$C$17,MATCH(C63,Design!$B$15:$B$17,1)-1,0,2), OFFSET(Design!$B$15:$B$17,MATCH(C63,Design!$B$15:$B$17,1)-1,0,2))+(M63-25)*Design!$B$18/1000</f>
        <v>0.39360542512212615</v>
      </c>
      <c r="E63" s="216">
        <f ca="1">IF(100*(Design!$C$28+D63+C63*IF(ISBLANK(Design!$B$40),Constants!$C$6,Design!$B$40)/1000*(1+Constants!$C$31/100*(N63-25)))/($B63+D63-C63*O63/1000)&gt;Design!$C$35,Design!$C$35,100*(Design!$C$28+D63+C63*IF(ISBLANK(Design!$B$40),Constants!$C$6,Design!$B$40)/1000*(1+Constants!$C$31/100*(N63-25)))/($B63+D63-C63*O63/1000))</f>
        <v>44.100635388752991</v>
      </c>
      <c r="F63" s="158">
        <f ca="1">IF(($B63-C63*IF(ISBLANK(Design!$B$40),Constants!$C$6,Design!$B$40)/1000*(1+Constants!$C$31/100*(N63-25))-Design!$C$28)/(IF(ISBLANK(Design!$B$39),Design!$B$38,Design!$B$39)/1000000)*E63/100/(IF(ISBLANK(Design!$B$32),Design!$B$31,Design!$B$32)*1000000)&lt;0,0,($B63-C63*IF(ISBLANK(Design!$B$40),Constants!$C$6,Design!$B$40)/1000*(1+Constants!$C$31/100*(N63-25))-Design!$C$28)/(IF(ISBLANK(Design!$B$39),Design!$B$38,Design!$B$39)/1000000)*E63/100/(IF(ISBLANK(Design!$B$32),Design!$B$31,Design!$B$32)*1000000))</f>
        <v>0.53109388727846407</v>
      </c>
      <c r="G63" s="208">
        <f>B63*Constants!$C$18/1000+IF(ISBLANK(Design!$B$32),Design!$B$31,Design!$B$32)*1000000*Constants!$D$22/1000000000*(B63-Constants!$C$21)</f>
        <v>6.336E-2</v>
      </c>
      <c r="H63" s="208">
        <f>B63*C63*(B63/(Constants!$C$23*1000000000)*IF(ISBLANK(Design!$B$32),Design!$B$31,Design!$B$32)*1000000/2+B63/(Constants!$C$24*1000000000)*IF(ISBLANK(Design!$B$32),Design!$B$31,Design!$B$32)*1000000/2)</f>
        <v>0.32182919298245616</v>
      </c>
      <c r="I63" s="208">
        <f t="shared" ca="1" si="13"/>
        <v>0.7166747065228618</v>
      </c>
      <c r="J63" s="208">
        <f>Constants!$D$22/1000000000*Constants!$C$21*IF(ISBLANK(Design!$B$32),Design!$B$31,Design!$B$32)*1000000</f>
        <v>4.9999999999999996E-2</v>
      </c>
      <c r="K63" s="208">
        <f t="shared" ca="1" si="22"/>
        <v>1.1518638995053181</v>
      </c>
      <c r="L63" s="208">
        <f t="shared" ca="1" si="17"/>
        <v>0.77008026101533145</v>
      </c>
      <c r="M63" s="209">
        <f ca="1">$A63+L63*Design!$B$19</f>
        <v>128.89457487787388</v>
      </c>
      <c r="N63" s="209">
        <f ca="1">K63*Design!$C$12+A63</f>
        <v>124.16337258318082</v>
      </c>
      <c r="O63" s="209">
        <f ca="1">Constants!$D$19+Constants!$D$19*Constants!$C$20/100*(N63-25)</f>
        <v>132.40629234712094</v>
      </c>
      <c r="P63" s="208">
        <f ca="1">(1-Constants!$D$17/1000000000*Design!$B$32*1000000) * ($B63+D63-C63*O63/1000) - (D63+C63*(1+($A63-25)*Constants!$C$31/100)*IF(ISBLANK(Design!$B$40),Constants!$C$6/1000,Design!$B$40/1000))</f>
        <v>6.0940279603273497</v>
      </c>
      <c r="Q63" s="158">
        <f ca="1">IF(P63&gt;Design!$C$28,Design!$C$28,P63)</f>
        <v>3.3239005736137672</v>
      </c>
      <c r="R63" s="159">
        <f>2*Design!$D$6/3</f>
        <v>2.3333333333333335</v>
      </c>
      <c r="S63" s="159">
        <f ca="1">FORECAST(R63, OFFSET(Design!$C$15:$C$17,MATCH(R63,Design!$B$15:$B$17,1)-1,0,2), OFFSET(Design!$B$15:$B$17,MATCH(R63,Design!$B$15:$B$17,1)-1,0,2))+(AB63-25)*Design!$B$18/1000</f>
        <v>0.37942821190289056</v>
      </c>
      <c r="T63" s="225">
        <f ca="1">IF(100*(Design!$C$28+S63+R63*IF(ISBLANK(Design!$B$40),Constants!$C$6,Design!$B$40)/1000*(1+Constants!$C$31/100*(AC63-25)))/($B63+S63-R63*AD63/1000)&gt;Design!$C$35,Design!$C$35,100*(Design!$C$28+S63+R63*IF(ISBLANK(Design!$B$40),Constants!$C$6,Design!$B$40)/1000*(1+Constants!$C$31/100*(AC63-25)))/($B63+S63-R63*AD63/1000))</f>
        <v>42.721249168962586</v>
      </c>
      <c r="U63" s="160">
        <f ca="1">IF(($B63-R63*IF(ISBLANK(Design!$B$40),Constants!$C$6,Design!$B$40)/1000*(1+Constants!$C$31/100*(AC63-25))-Design!$C$28)/(IF(ISBLANK(Design!$B$39),Design!$B$38,Design!$B$39)/1000000)*T63/100/(IF(ISBLANK(Design!$B$32),Design!$B$31,Design!$B$32)*1000000)&lt;0,0,($B63-R63*IF(ISBLANK(Design!$B$40),Constants!$C$6,Design!$B$40)/1000*(1+Constants!$C$31/100*(AC63-25))-Design!$C$28)/(IF(ISBLANK(Design!$B$39),Design!$B$38,Design!$B$39)/1000000)*T63/100/(IF(ISBLANK(Design!$B$32),Design!$B$31,Design!$B$32)*1000000))</f>
        <v>0.51795568393619473</v>
      </c>
      <c r="V63" s="226">
        <f>$B63*Constants!$C$18/1000+IF(ISBLANK(Design!$B$32),Design!$B$31,Design!$B$32)*1000000*Constants!$D$22/1000000000*($B63-Constants!$C$21)</f>
        <v>6.336E-2</v>
      </c>
      <c r="W63" s="226">
        <f>$B63*R63*($B63/(Constants!$C$23*1000000000)*IF(ISBLANK(Design!$B$32),Design!$B$31,Design!$B$32)*1000000/2+$B63/(Constants!$C$24*1000000000)*IF(ISBLANK(Design!$B$32),Design!$B$31,Design!$B$32)*1000000/2)</f>
        <v>0.21455279532163749</v>
      </c>
      <c r="X63" s="226">
        <f t="shared" ca="1" si="14"/>
        <v>0.2871353317594651</v>
      </c>
      <c r="Y63" s="226">
        <f>Constants!$D$22/1000000000*Constants!$C$21*IF(ISBLANK(Design!$B$32),Design!$B$31,Design!$B$32)*1000000</f>
        <v>4.9999999999999996E-2</v>
      </c>
      <c r="Z63" s="226">
        <f t="shared" ca="1" si="23"/>
        <v>0.61504812708110257</v>
      </c>
      <c r="AA63" s="226">
        <f t="shared" ca="1" si="19"/>
        <v>0.50710739351654044</v>
      </c>
      <c r="AB63" s="227">
        <f ca="1">$A63+AA63*Design!$B$19</f>
        <v>113.9051214304428</v>
      </c>
      <c r="AC63" s="227">
        <f ca="1">Z63*Design!$C$12+$A63</f>
        <v>105.91163632075748</v>
      </c>
      <c r="AD63" s="227">
        <f ca="1">Constants!$D$19+Constants!$D$19*Constants!$C$20/100*(AC63-25)</f>
        <v>122.94459226868068</v>
      </c>
      <c r="AE63" s="226">
        <f ca="1">(1-Constants!$D$17/1000000000*Design!$B$32*1000000) * ($B63+S63-R63*AD63/1000) - (S63+R63*(1+($A63-25)*Constants!$C$31/100)*IF(ISBLANK(Design!$B$40),Constants!$C$6/1000,Design!$B$40/1000))</f>
        <v>6.2604448188535127</v>
      </c>
      <c r="AF63" s="160">
        <f ca="1">IF(AE63&gt;Design!$C$28,Design!$C$28,AE63)</f>
        <v>3.3239005736137672</v>
      </c>
      <c r="AG63" s="161">
        <f>Design!$D$6/3</f>
        <v>1.1666666666666667</v>
      </c>
      <c r="AH63" s="161">
        <f ca="1">FORECAST(AG63, OFFSET(Design!$C$15:$C$17,MATCH(AG63,Design!$B$15:$B$17,1)-1,0,2), OFFSET(Design!$B$15:$B$17,MATCH(AG63,Design!$B$15:$B$17,1)-1,0,2))+(AQ63-25)*Design!$B$18/1000</f>
        <v>0.3225881895621559</v>
      </c>
      <c r="AI63" s="239">
        <f ca="1">IF(100*(Design!$C$28+AH63+AG63*IF(ISBLANK(Design!$B$40),Constants!$C$6,Design!$B$40)/1000*(1+Constants!$C$31/100*(AR63-25)))/($B63+AH63-AG63*AS63/1000)&gt;Design!$C$35,Design!$C$35,100*(Design!$C$28+AH63+AG63*IF(ISBLANK(Design!$B$40),Constants!$C$6,Design!$B$40)/1000*(1+Constants!$C$31/100*(AR63-25)))/($B63+AH63-AG63*AS63/1000))</f>
        <v>41.278536617669907</v>
      </c>
      <c r="AJ63" s="162">
        <f ca="1">IF(($B63-AG63*IF(ISBLANK(Design!$B$40),Constants!$C$6,Design!$B$40)/1000*(1+Constants!$C$31/100*(AR63-25))-Design!$C$28)/(IF(ISBLANK(Design!$B$39),Design!$B$38,Design!$B$39)/1000000)*AI63/100/(IF(ISBLANK(Design!$B$32),Design!$B$31,Design!$B$32)*1000000)&lt;0,0,($B63-AG63*IF(ISBLANK(Design!$B$40),Constants!$C$6,Design!$B$40)/1000*(1+Constants!$C$31/100*(AR63-25))-Design!$C$28)/(IF(ISBLANK(Design!$B$39),Design!$B$38,Design!$B$39)/1000000)*AI63/100/(IF(ISBLANK(Design!$B$32),Design!$B$31,Design!$B$32)*1000000))</f>
        <v>0.50344501800463137</v>
      </c>
      <c r="AK63" s="240">
        <f>$B63*Constants!$C$18/1000+IF(ISBLANK(Design!$B$32),Design!$B$31,Design!$B$32)*1000000*Constants!$D$22/1000000000*($B63-Constants!$C$21)</f>
        <v>6.336E-2</v>
      </c>
      <c r="AL63" s="240">
        <f>$B63*AG63*($B63/(Constants!$C$23*1000000000)*IF(ISBLANK(Design!$B$32),Design!$B$31,Design!$B$32)*1000000/2+$B63/(Constants!$C$24*1000000000)*IF(ISBLANK(Design!$B$32),Design!$B$31,Design!$B$32)*1000000/2)</f>
        <v>0.10727639766081874</v>
      </c>
      <c r="AM63" s="240">
        <f t="shared" ca="1" si="15"/>
        <v>6.685382038249528E-2</v>
      </c>
      <c r="AN63" s="240">
        <f>Constants!$D$22/1000000000*Constants!$C$21*IF(ISBLANK(Design!$B$32),Design!$B$31,Design!$B$32)*1000000</f>
        <v>4.9999999999999996E-2</v>
      </c>
      <c r="AO63" s="240">
        <f t="shared" ca="1" si="24"/>
        <v>0.28749021804331398</v>
      </c>
      <c r="AP63" s="240">
        <f t="shared" ca="1" si="21"/>
        <v>0.22099992321104012</v>
      </c>
      <c r="AQ63" s="241">
        <f ca="1">$A63+AP63*Design!$B$19</f>
        <v>97.596995623029287</v>
      </c>
      <c r="AR63" s="241">
        <f ca="1">AO63*Design!$C$12+$A63</f>
        <v>94.77466741347267</v>
      </c>
      <c r="AS63" s="241">
        <f ca="1">Constants!$D$19+Constants!$D$19*Constants!$C$20/100*(AR63-25)</f>
        <v>117.17118758714423</v>
      </c>
      <c r="AT63" s="240">
        <f ca="1">(1-Constants!$D$17/1000000000*Design!$B$32*1000000) * ($B63+AH63-AG63*AS63/1000) - (AH63+AG63*(1+($A63-25)*Constants!$C$31/100)*IF(ISBLANK(Design!$B$40),Constants!$C$6/1000,Design!$B$40/1000))</f>
        <v>6.4170517148444821</v>
      </c>
      <c r="AU63" s="162">
        <f ca="1">IF(AT63&gt;Design!$C$28,Design!$C$28,AT63)</f>
        <v>3.3239005736137672</v>
      </c>
    </row>
    <row r="64" spans="1:47" ht="12.75" customHeight="1">
      <c r="A64" s="155">
        <f>Design!$D$13</f>
        <v>85</v>
      </c>
      <c r="B64" s="156">
        <f t="shared" si="12"/>
        <v>8.5150000000000006</v>
      </c>
      <c r="C64" s="157">
        <f>Design!$D$6</f>
        <v>3.5</v>
      </c>
      <c r="D64" s="157">
        <f ca="1">FORECAST(C64, OFFSET(Design!$C$15:$C$17,MATCH(C64,Design!$B$15:$B$17,1)-1,0,2), OFFSET(Design!$B$15:$B$17,MATCH(C64,Design!$B$15:$B$17,1)-1,0,2))+(M64-25)*Design!$B$18/1000</f>
        <v>0.39436659042011046</v>
      </c>
      <c r="E64" s="216">
        <f ca="1">IF(100*(Design!$C$28+D64+C64*IF(ISBLANK(Design!$B$40),Constants!$C$6,Design!$B$40)/1000*(1+Constants!$C$31/100*(N64-25)))/($B64+D64-C64*O64/1000)&gt;Design!$C$35,Design!$C$35,100*(Design!$C$28+D64+C64*IF(ISBLANK(Design!$B$40),Constants!$C$6,Design!$B$40)/1000*(1+Constants!$C$31/100*(N64-25)))/($B64+D64-C64*O64/1000))</f>
        <v>45.175993081420124</v>
      </c>
      <c r="F64" s="158">
        <f ca="1">IF(($B64-C64*IF(ISBLANK(Design!$B$40),Constants!$C$6,Design!$B$40)/1000*(1+Constants!$C$31/100*(N64-25))-Design!$C$28)/(IF(ISBLANK(Design!$B$39),Design!$B$38,Design!$B$39)/1000000)*E64/100/(IF(ISBLANK(Design!$B$32),Design!$B$31,Design!$B$32)*1000000)&lt;0,0,($B64-C64*IF(ISBLANK(Design!$B$40),Constants!$C$6,Design!$B$40)/1000*(1+Constants!$C$31/100*(N64-25))-Design!$C$28)/(IF(ISBLANK(Design!$B$39),Design!$B$38,Design!$B$39)/1000000)*E64/100/(IF(ISBLANK(Design!$B$32),Design!$B$31,Design!$B$32)*1000000))</f>
        <v>0.52299646668679622</v>
      </c>
      <c r="G64" s="208">
        <f>B64*Constants!$C$18/1000+IF(ISBLANK(Design!$B$32),Design!$B$31,Design!$B$32)*1000000*Constants!$D$22/1000000000*(B64-Constants!$C$21)</f>
        <v>6.0695000000000013E-2</v>
      </c>
      <c r="H64" s="208">
        <f>B64*C64*(B64/(Constants!$C$23*1000000000)*IF(ISBLANK(Design!$B$32),Design!$B$31,Design!$B$32)*1000000/2+B64/(Constants!$C$24*1000000000)*IF(ISBLANK(Design!$B$32),Design!$B$31,Design!$B$32)*1000000/2)</f>
        <v>0.30687518475877201</v>
      </c>
      <c r="I64" s="208">
        <f t="shared" ca="1" si="13"/>
        <v>0.73408753478197186</v>
      </c>
      <c r="J64" s="208">
        <f>Constants!$D$22/1000000000*Constants!$C$21*IF(ISBLANK(Design!$B$32),Design!$B$31,Design!$B$32)*1000000</f>
        <v>4.9999999999999996E-2</v>
      </c>
      <c r="K64" s="208">
        <f t="shared" ca="1" si="22"/>
        <v>1.1516577195407438</v>
      </c>
      <c r="L64" s="208">
        <f t="shared" ca="1" si="17"/>
        <v>0.75672648385771124</v>
      </c>
      <c r="M64" s="209">
        <f ca="1">$A64+L64*Design!$B$19</f>
        <v>128.13340957988953</v>
      </c>
      <c r="N64" s="209">
        <f ca="1">K64*Design!$C$12+A64</f>
        <v>124.1563624643853</v>
      </c>
      <c r="O64" s="209">
        <f ca="1">Constants!$D$19+Constants!$D$19*Constants!$C$20/100*(N64-25)</f>
        <v>132.40265830153734</v>
      </c>
      <c r="P64" s="208">
        <f ca="1">(1-Constants!$D$17/1000000000*Design!$B$32*1000000) * ($B64+D64-C64*O64/1000) - (D64+C64*(1+($A64-25)*Constants!$C$31/100)*IF(ISBLANK(Design!$B$40),Constants!$C$6/1000,Design!$B$40/1000))</f>
        <v>5.9380549472170845</v>
      </c>
      <c r="Q64" s="158">
        <f ca="1">IF(P64&gt;Design!$C$28,Design!$C$28,P64)</f>
        <v>3.3239005736137672</v>
      </c>
      <c r="R64" s="159">
        <f>2*Design!$D$6/3</f>
        <v>2.3333333333333335</v>
      </c>
      <c r="S64" s="159">
        <f ca="1">FORECAST(R64, OFFSET(Design!$C$15:$C$17,MATCH(R64,Design!$B$15:$B$17,1)-1,0,2), OFFSET(Design!$B$15:$B$17,MATCH(R64,Design!$B$15:$B$17,1)-1,0,2))+(AB64-25)*Design!$B$18/1000</f>
        <v>0.37990658306264014</v>
      </c>
      <c r="T64" s="225">
        <f ca="1">IF(100*(Design!$C$28+S64+R64*IF(ISBLANK(Design!$B$40),Constants!$C$6,Design!$B$40)/1000*(1+Constants!$C$31/100*(AC64-25)))/($B64+S64-R64*AD64/1000)&gt;Design!$C$35,Design!$C$35,100*(Design!$C$28+S64+R64*IF(ISBLANK(Design!$B$40),Constants!$C$6,Design!$B$40)/1000*(1+Constants!$C$31/100*(AC64-25)))/($B64+S64-R64*AD64/1000))</f>
        <v>43.740126133570705</v>
      </c>
      <c r="U64" s="160">
        <f ca="1">IF(($B64-R64*IF(ISBLANK(Design!$B$40),Constants!$C$6,Design!$B$40)/1000*(1+Constants!$C$31/100*(AC64-25))-Design!$C$28)/(IF(ISBLANK(Design!$B$39),Design!$B$38,Design!$B$39)/1000000)*T64/100/(IF(ISBLANK(Design!$B$32),Design!$B$31,Design!$B$32)*1000000)&lt;0,0,($B64-R64*IF(ISBLANK(Design!$B$40),Constants!$C$6,Design!$B$40)/1000*(1+Constants!$C$31/100*(AC64-25))-Design!$C$28)/(IF(ISBLANK(Design!$B$39),Design!$B$38,Design!$B$39)/1000000)*T64/100/(IF(ISBLANK(Design!$B$32),Design!$B$31,Design!$B$32)*1000000))</f>
        <v>0.50993347210477524</v>
      </c>
      <c r="V64" s="226">
        <f>$B64*Constants!$C$18/1000+IF(ISBLANK(Design!$B$32),Design!$B$31,Design!$B$32)*1000000*Constants!$D$22/1000000000*($B64-Constants!$C$21)</f>
        <v>6.0695000000000013E-2</v>
      </c>
      <c r="W64" s="226">
        <f>$B64*R64*($B64/(Constants!$C$23*1000000000)*IF(ISBLANK(Design!$B$32),Design!$B$31,Design!$B$32)*1000000/2+$B64/(Constants!$C$24*1000000000)*IF(ISBLANK(Design!$B$32),Design!$B$31,Design!$B$32)*1000000/2)</f>
        <v>0.204583456505848</v>
      </c>
      <c r="X64" s="226">
        <f t="shared" ca="1" si="14"/>
        <v>0.2936901958087248</v>
      </c>
      <c r="Y64" s="226">
        <f>Constants!$D$22/1000000000*Constants!$C$21*IF(ISBLANK(Design!$B$32),Design!$B$31,Design!$B$32)*1000000</f>
        <v>4.9999999999999996E-2</v>
      </c>
      <c r="Z64" s="226">
        <f t="shared" ca="1" si="23"/>
        <v>0.60896865231457287</v>
      </c>
      <c r="AA64" s="226">
        <f t="shared" ca="1" si="19"/>
        <v>0.49871491702970661</v>
      </c>
      <c r="AB64" s="227">
        <f ca="1">$A64+AA64*Design!$B$19</f>
        <v>113.42675027069328</v>
      </c>
      <c r="AC64" s="227">
        <f ca="1">Z64*Design!$C$12+$A64</f>
        <v>105.70493417869548</v>
      </c>
      <c r="AD64" s="227">
        <f ca="1">Constants!$D$19+Constants!$D$19*Constants!$C$20/100*(AC64-25)</f>
        <v>122.83743787823575</v>
      </c>
      <c r="AE64" s="226">
        <f ca="1">(1-Constants!$D$17/1000000000*Design!$B$32*1000000) * ($B64+S64-R64*AD64/1000) - (S64+R64*(1+($A64-25)*Constants!$C$31/100)*IF(ISBLANK(Design!$B$40),Constants!$C$6/1000,Design!$B$40/1000))</f>
        <v>6.1047200302275622</v>
      </c>
      <c r="AF64" s="160">
        <f ca="1">IF(AE64&gt;Design!$C$28,Design!$C$28,AE64)</f>
        <v>3.3239005736137672</v>
      </c>
      <c r="AG64" s="161">
        <f>Design!$D$6/3</f>
        <v>1.1666666666666667</v>
      </c>
      <c r="AH64" s="161">
        <f ca="1">FORECAST(AG64, OFFSET(Design!$C$15:$C$17,MATCH(AG64,Design!$B$15:$B$17,1)-1,0,2), OFFSET(Design!$B$15:$B$17,MATCH(AG64,Design!$B$15:$B$17,1)-1,0,2))+(AQ64-25)*Design!$B$18/1000</f>
        <v>0.32278921025447654</v>
      </c>
      <c r="AI64" s="239">
        <f ca="1">IF(100*(Design!$C$28+AH64+AG64*IF(ISBLANK(Design!$B$40),Constants!$C$6,Design!$B$40)/1000*(1+Constants!$C$31/100*(AR64-25)))/($B64+AH64-AG64*AS64/1000)&gt;Design!$C$35,Design!$C$35,100*(Design!$C$28+AH64+AG64*IF(ISBLANK(Design!$B$40),Constants!$C$6,Design!$B$40)/1000*(1+Constants!$C$31/100*(AR64-25)))/($B64+AH64-AG64*AS64/1000))</f>
        <v>42.251589540798811</v>
      </c>
      <c r="AJ64" s="162">
        <f ca="1">IF(($B64-AG64*IF(ISBLANK(Design!$B$40),Constants!$C$6,Design!$B$40)/1000*(1+Constants!$C$31/100*(AR64-25))-Design!$C$28)/(IF(ISBLANK(Design!$B$39),Design!$B$38,Design!$B$39)/1000000)*AI64/100/(IF(ISBLANK(Design!$B$32),Design!$B$31,Design!$B$32)*1000000)&lt;0,0,($B64-AG64*IF(ISBLANK(Design!$B$40),Constants!$C$6,Design!$B$40)/1000*(1+Constants!$C$31/100*(AR64-25))-Design!$C$28)/(IF(ISBLANK(Design!$B$39),Design!$B$38,Design!$B$39)/1000000)*AI64/100/(IF(ISBLANK(Design!$B$32),Design!$B$31,Design!$B$32)*1000000))</f>
        <v>0.49562910138299321</v>
      </c>
      <c r="AK64" s="240">
        <f>$B64*Constants!$C$18/1000+IF(ISBLANK(Design!$B$32),Design!$B$31,Design!$B$32)*1000000*Constants!$D$22/1000000000*($B64-Constants!$C$21)</f>
        <v>6.0695000000000013E-2</v>
      </c>
      <c r="AL64" s="240">
        <f>$B64*AG64*($B64/(Constants!$C$23*1000000000)*IF(ISBLANK(Design!$B$32),Design!$B$31,Design!$B$32)*1000000/2+$B64/(Constants!$C$24*1000000000)*IF(ISBLANK(Design!$B$32),Design!$B$31,Design!$B$32)*1000000/2)</f>
        <v>0.102291728252924</v>
      </c>
      <c r="AM64" s="240">
        <f t="shared" ca="1" si="15"/>
        <v>6.8334064771289046E-2</v>
      </c>
      <c r="AN64" s="240">
        <f>Constants!$D$22/1000000000*Constants!$C$21*IF(ISBLANK(Design!$B$32),Design!$B$31,Design!$B$32)*1000000</f>
        <v>4.9999999999999996E-2</v>
      </c>
      <c r="AO64" s="240">
        <f t="shared" ca="1" si="24"/>
        <v>0.28132079302421303</v>
      </c>
      <c r="AP64" s="240">
        <f t="shared" ca="1" si="21"/>
        <v>0.21747324439839721</v>
      </c>
      <c r="AQ64" s="241">
        <f ca="1">$A64+AP64*Design!$B$19</f>
        <v>97.395974930708647</v>
      </c>
      <c r="AR64" s="241">
        <f ca="1">AO64*Design!$C$12+$A64</f>
        <v>94.564906962823244</v>
      </c>
      <c r="AS64" s="241">
        <f ca="1">Constants!$D$19+Constants!$D$19*Constants!$C$20/100*(AR64-25)</f>
        <v>117.06244776952758</v>
      </c>
      <c r="AT64" s="240">
        <f ca="1">(1-Constants!$D$17/1000000000*Design!$B$32*1000000) * ($B64+AH64-AG64*AS64/1000) - (AH64+AG64*(1+($A64-25)*Constants!$C$31/100)*IF(ISBLANK(Design!$B$40),Constants!$C$6/1000,Design!$B$40/1000))</f>
        <v>6.2612998858499456</v>
      </c>
      <c r="AU64" s="162">
        <f ca="1">IF(AT64&gt;Design!$C$28,Design!$C$28,AT64)</f>
        <v>3.3239005736137672</v>
      </c>
    </row>
    <row r="65" spans="1:47" ht="12.75" customHeight="1">
      <c r="A65" s="155">
        <f>Design!$D$13</f>
        <v>85</v>
      </c>
      <c r="B65" s="156">
        <f t="shared" si="12"/>
        <v>8.31</v>
      </c>
      <c r="C65" s="157">
        <f>Design!$D$6</f>
        <v>3.5</v>
      </c>
      <c r="D65" s="157">
        <f ca="1">FORECAST(C65, OFFSET(Design!$C$15:$C$17,MATCH(C65,Design!$B$15:$B$17,1)-1,0,2), OFFSET(Design!$B$15:$B$17,MATCH(C65,Design!$B$15:$B$17,1)-1,0,2))+(M65-25)*Design!$B$18/1000</f>
        <v>0.39516929236583026</v>
      </c>
      <c r="E65" s="216">
        <f ca="1">IF(100*(Design!$C$28+D65+C65*IF(ISBLANK(Design!$B$40),Constants!$C$6,Design!$B$40)/1000*(1+Constants!$C$31/100*(N65-25)))/($B65+D65-C65*O65/1000)&gt;Design!$C$35,Design!$C$35,100*(Design!$C$28+D65+C65*IF(ISBLANK(Design!$B$40),Constants!$C$6,Design!$B$40)/1000*(1+Constants!$C$31/100*(N65-25)))/($B65+D65-C65*O65/1000))</f>
        <v>46.305544923304986</v>
      </c>
      <c r="F65" s="158">
        <f ca="1">IF(($B65-C65*IF(ISBLANK(Design!$B$40),Constants!$C$6,Design!$B$40)/1000*(1+Constants!$C$31/100*(N65-25))-Design!$C$28)/(IF(ISBLANK(Design!$B$39),Design!$B$38,Design!$B$39)/1000000)*E65/100/(IF(ISBLANK(Design!$B$32),Design!$B$31,Design!$B$32)*1000000)&lt;0,0,($B65-C65*IF(ISBLANK(Design!$B$40),Constants!$C$6,Design!$B$40)/1000*(1+Constants!$C$31/100*(N65-25))-Design!$C$28)/(IF(ISBLANK(Design!$B$39),Design!$B$38,Design!$B$39)/1000000)*E65/100/(IF(ISBLANK(Design!$B$32),Design!$B$31,Design!$B$32)*1000000))</f>
        <v>0.51449781926153537</v>
      </c>
      <c r="G65" s="208">
        <f>B65*Constants!$C$18/1000+IF(ISBLANK(Design!$B$32),Design!$B$31,Design!$B$32)*1000000*Constants!$D$22/1000000000*(B65-Constants!$C$21)</f>
        <v>5.8030000000000005E-2</v>
      </c>
      <c r="H65" s="208">
        <f>B65*C65*(B65/(Constants!$C$23*1000000000)*IF(ISBLANK(Design!$B$32),Design!$B$31,Design!$B$32)*1000000/2+B65/(Constants!$C$24*1000000000)*IF(ISBLANK(Design!$B$32),Design!$B$31,Design!$B$32)*1000000/2)</f>
        <v>0.29227691447368426</v>
      </c>
      <c r="I65" s="208">
        <f t="shared" ca="1" si="13"/>
        <v>0.7525136110986953</v>
      </c>
      <c r="J65" s="208">
        <f>Constants!$D$22/1000000000*Constants!$C$21*IF(ISBLANK(Design!$B$32),Design!$B$31,Design!$B$32)*1000000</f>
        <v>4.9999999999999996E-2</v>
      </c>
      <c r="K65" s="208">
        <f t="shared" ca="1" si="22"/>
        <v>1.1528205255723796</v>
      </c>
      <c r="L65" s="208">
        <f t="shared" ca="1" si="17"/>
        <v>0.74264399358192501</v>
      </c>
      <c r="M65" s="209">
        <f ca="1">$A65+L65*Design!$B$19</f>
        <v>127.33070763416973</v>
      </c>
      <c r="N65" s="209">
        <f ca="1">K65*Design!$C$12+A65</f>
        <v>124.19589786946091</v>
      </c>
      <c r="O65" s="209">
        <f ca="1">Constants!$D$19+Constants!$D$19*Constants!$C$20/100*(N65-25)</f>
        <v>132.42315345552854</v>
      </c>
      <c r="P65" s="208">
        <f ca="1">(1-Constants!$D$17/1000000000*Design!$B$32*1000000) * ($B65+D65-C65*O65/1000) - (D65+C65*(1+($A65-25)*Constants!$C$31/100)*IF(ISBLANK(Design!$B$40),Constants!$C$6/1000,Design!$B$40/1000))</f>
        <v>5.7820077816404947</v>
      </c>
      <c r="Q65" s="158">
        <f ca="1">IF(P65&gt;Design!$C$28,Design!$C$28,P65)</f>
        <v>3.3239005736137672</v>
      </c>
      <c r="R65" s="159">
        <f>2*Design!$D$6/3</f>
        <v>2.3333333333333335</v>
      </c>
      <c r="S65" s="159">
        <f ca="1">FORECAST(R65, OFFSET(Design!$C$15:$C$17,MATCH(R65,Design!$B$15:$B$17,1)-1,0,2), OFFSET(Design!$B$15:$B$17,MATCH(R65,Design!$B$15:$B$17,1)-1,0,2))+(AB65-25)*Design!$B$18/1000</f>
        <v>0.38040966352974348</v>
      </c>
      <c r="T65" s="225">
        <f ca="1">IF(100*(Design!$C$28+S65+R65*IF(ISBLANK(Design!$B$40),Constants!$C$6,Design!$B$40)/1000*(1+Constants!$C$31/100*(AC65-25)))/($B65+S65-R65*AD65/1000)&gt;Design!$C$35,Design!$C$35,100*(Design!$C$28+S65+R65*IF(ISBLANK(Design!$B$40),Constants!$C$6,Design!$B$40)/1000*(1+Constants!$C$31/100*(AC65-25)))/($B65+S65-R65*AD65/1000))</f>
        <v>44.808866685939492</v>
      </c>
      <c r="U65" s="160">
        <f ca="1">IF(($B65-R65*IF(ISBLANK(Design!$B$40),Constants!$C$6,Design!$B$40)/1000*(1+Constants!$C$31/100*(AC65-25))-Design!$C$28)/(IF(ISBLANK(Design!$B$39),Design!$B$38,Design!$B$39)/1000000)*T65/100/(IF(ISBLANK(Design!$B$32),Design!$B$31,Design!$B$32)*1000000)&lt;0,0,($B65-R65*IF(ISBLANK(Design!$B$40),Constants!$C$6,Design!$B$40)/1000*(1+Constants!$C$31/100*(AC65-25))-Design!$C$28)/(IF(ISBLANK(Design!$B$39),Design!$B$38,Design!$B$39)/1000000)*T65/100/(IF(ISBLANK(Design!$B$32),Design!$B$31,Design!$B$32)*1000000))</f>
        <v>0.50151975294564177</v>
      </c>
      <c r="V65" s="226">
        <f>$B65*Constants!$C$18/1000+IF(ISBLANK(Design!$B$32),Design!$B$31,Design!$B$32)*1000000*Constants!$D$22/1000000000*($B65-Constants!$C$21)</f>
        <v>5.8030000000000005E-2</v>
      </c>
      <c r="W65" s="226">
        <f>$B65*R65*($B65/(Constants!$C$23*1000000000)*IF(ISBLANK(Design!$B$32),Design!$B$31,Design!$B$32)*1000000/2+$B65/(Constants!$C$24*1000000000)*IF(ISBLANK(Design!$B$32),Design!$B$31,Design!$B$32)*1000000/2)</f>
        <v>0.19485127631578955</v>
      </c>
      <c r="X65" s="226">
        <f t="shared" ca="1" si="14"/>
        <v>0.30058984959458446</v>
      </c>
      <c r="Y65" s="226">
        <f>Constants!$D$22/1000000000*Constants!$C$21*IF(ISBLANK(Design!$B$32),Design!$B$31,Design!$B$32)*1000000</f>
        <v>4.9999999999999996E-2</v>
      </c>
      <c r="Z65" s="226">
        <f t="shared" ca="1" si="23"/>
        <v>0.603471125910374</v>
      </c>
      <c r="AA65" s="226">
        <f t="shared" ca="1" si="19"/>
        <v>0.48988894392262949</v>
      </c>
      <c r="AB65" s="227">
        <f ca="1">$A65+AA65*Design!$B$19</f>
        <v>112.92366980358989</v>
      </c>
      <c r="AC65" s="227">
        <f ca="1">Z65*Design!$C$12+$A65</f>
        <v>105.51801828095272</v>
      </c>
      <c r="AD65" s="227">
        <f ca="1">Constants!$D$19+Constants!$D$19*Constants!$C$20/100*(AC65-25)</f>
        <v>122.7405406768459</v>
      </c>
      <c r="AE65" s="226">
        <f ca="1">(1-Constants!$D$17/1000000000*Design!$B$32*1000000) * ($B65+S65-R65*AD65/1000) - (S65+R65*(1+($A65-25)*Constants!$C$31/100)*IF(ISBLANK(Design!$B$40),Constants!$C$6/1000,Design!$B$40/1000))</f>
        <v>5.9489711219525896</v>
      </c>
      <c r="AF65" s="160">
        <f ca="1">IF(AE65&gt;Design!$C$28,Design!$C$28,AE65)</f>
        <v>3.3239005736137672</v>
      </c>
      <c r="AG65" s="161">
        <f>Design!$D$6/3</f>
        <v>1.1666666666666667</v>
      </c>
      <c r="AH65" s="161">
        <f ca="1">FORECAST(AG65, OFFSET(Design!$C$15:$C$17,MATCH(AG65,Design!$B$15:$B$17,1)-1,0,2), OFFSET(Design!$B$15:$B$17,MATCH(AG65,Design!$B$15:$B$17,1)-1,0,2))+(AQ65-25)*Design!$B$18/1000</f>
        <v>0.323000204147187</v>
      </c>
      <c r="AI65" s="239">
        <f ca="1">IF(100*(Design!$C$28+AH65+AG65*IF(ISBLANK(Design!$B$40),Constants!$C$6,Design!$B$40)/1000*(1+Constants!$C$31/100*(AR65-25)))/($B65+AH65-AG65*AS65/1000)&gt;Design!$C$35,Design!$C$35,100*(Design!$C$28+AH65+AG65*IF(ISBLANK(Design!$B$40),Constants!$C$6,Design!$B$40)/1000*(1+Constants!$C$31/100*(AR65-25)))/($B65+AH65-AG65*AS65/1000))</f>
        <v>43.271615555888097</v>
      </c>
      <c r="AJ65" s="162">
        <f ca="1">IF(($B65-AG65*IF(ISBLANK(Design!$B$40),Constants!$C$6,Design!$B$40)/1000*(1+Constants!$C$31/100*(AR65-25))-Design!$C$28)/(IF(ISBLANK(Design!$B$39),Design!$B$38,Design!$B$39)/1000000)*AI65/100/(IF(ISBLANK(Design!$B$32),Design!$B$31,Design!$B$32)*1000000)&lt;0,0,($B65-AG65*IF(ISBLANK(Design!$B$40),Constants!$C$6,Design!$B$40)/1000*(1+Constants!$C$31/100*(AR65-25))-Design!$C$28)/(IF(ISBLANK(Design!$B$39),Design!$B$38,Design!$B$39)/1000000)*AI65/100/(IF(ISBLANK(Design!$B$32),Design!$B$31,Design!$B$32)*1000000))</f>
        <v>0.48743563403970752</v>
      </c>
      <c r="AK65" s="240">
        <f>$B65*Constants!$C$18/1000+IF(ISBLANK(Design!$B$32),Design!$B$31,Design!$B$32)*1000000*Constants!$D$22/1000000000*($B65-Constants!$C$21)</f>
        <v>5.8030000000000005E-2</v>
      </c>
      <c r="AL65" s="240">
        <f>$B65*AG65*($B65/(Constants!$C$23*1000000000)*IF(ISBLANK(Design!$B$32),Design!$B$31,Design!$B$32)*1000000/2+$B65/(Constants!$C$24*1000000000)*IF(ISBLANK(Design!$B$32),Design!$B$31,Design!$B$32)*1000000/2)</f>
        <v>9.7425638157894776E-2</v>
      </c>
      <c r="AM65" s="240">
        <f t="shared" ca="1" si="15"/>
        <v>6.9886801501246001E-2</v>
      </c>
      <c r="AN65" s="240">
        <f>Constants!$D$22/1000000000*Constants!$C$21*IF(ISBLANK(Design!$B$32),Design!$B$31,Design!$B$32)*1000000</f>
        <v>4.9999999999999996E-2</v>
      </c>
      <c r="AO65" s="240">
        <f t="shared" ca="1" si="24"/>
        <v>0.27534243965914079</v>
      </c>
      <c r="AP65" s="240">
        <f t="shared" ca="1" si="21"/>
        <v>0.21377159715786295</v>
      </c>
      <c r="AQ65" s="241">
        <f ca="1">$A65+AP65*Design!$B$19</f>
        <v>97.184981037998185</v>
      </c>
      <c r="AR65" s="241">
        <f ca="1">AO65*Design!$C$12+$A65</f>
        <v>94.36164294841079</v>
      </c>
      <c r="AS65" s="241">
        <f ca="1">Constants!$D$19+Constants!$D$19*Constants!$C$20/100*(AR65-25)</f>
        <v>116.95707570445616</v>
      </c>
      <c r="AT65" s="240">
        <f ca="1">(1-Constants!$D$17/1000000000*Design!$B$32*1000000) * ($B65+AH65-AG65*AS65/1000) - (AH65+AG65*(1+($A65-25)*Constants!$C$31/100)*IF(ISBLANK(Design!$B$40),Constants!$C$6/1000,Design!$B$40/1000))</f>
        <v>6.1055426772133909</v>
      </c>
      <c r="AU65" s="162">
        <f ca="1">IF(AT65&gt;Design!$C$28,Design!$C$28,AT65)</f>
        <v>3.3239005736137672</v>
      </c>
    </row>
    <row r="66" spans="1:47" ht="12.75" customHeight="1">
      <c r="A66" s="155">
        <f>Design!$D$13</f>
        <v>85</v>
      </c>
      <c r="B66" s="156">
        <f t="shared" si="12"/>
        <v>8.1050000000000004</v>
      </c>
      <c r="C66" s="157">
        <f>Design!$D$6</f>
        <v>3.5</v>
      </c>
      <c r="D66" s="157">
        <f ca="1">FORECAST(C66, OFFSET(Design!$C$15:$C$17,MATCH(C66,Design!$B$15:$B$17,1)-1,0,2), OFFSET(Design!$B$15:$B$17,MATCH(C66,Design!$B$15:$B$17,1)-1,0,2))+(M66-25)*Design!$B$18/1000</f>
        <v>0.39601703520441728</v>
      </c>
      <c r="E66" s="216">
        <f ca="1">IF(100*(Design!$C$28+D66+C66*IF(ISBLANK(Design!$B$40),Constants!$C$6,Design!$B$40)/1000*(1+Constants!$C$31/100*(N66-25)))/($B66+D66-C66*O66/1000)&gt;Design!$C$35,Design!$C$35,100*(Design!$C$28+D66+C66*IF(ISBLANK(Design!$B$40),Constants!$C$6,Design!$B$40)/1000*(1+Constants!$C$31/100*(N66-25)))/($B66+D66-C66*O66/1000))</f>
        <v>47.493506050275094</v>
      </c>
      <c r="F66" s="158">
        <f ca="1">IF(($B66-C66*IF(ISBLANK(Design!$B$40),Constants!$C$6,Design!$B$40)/1000*(1+Constants!$C$31/100*(N66-25))-Design!$C$28)/(IF(ISBLANK(Design!$B$39),Design!$B$38,Design!$B$39)/1000000)*E66/100/(IF(ISBLANK(Design!$B$32),Design!$B$31,Design!$B$32)*1000000)&lt;0,0,($B66-C66*IF(ISBLANK(Design!$B$40),Constants!$C$6,Design!$B$40)/1000*(1+Constants!$C$31/100*(N66-25))-Design!$C$28)/(IF(ISBLANK(Design!$B$39),Design!$B$38,Design!$B$39)/1000000)*E66/100/(IF(ISBLANK(Design!$B$32),Design!$B$31,Design!$B$32)*1000000))</f>
        <v>0.50556687526741861</v>
      </c>
      <c r="G66" s="208">
        <f>B66*Constants!$C$18/1000+IF(ISBLANK(Design!$B$32),Design!$B$31,Design!$B$32)*1000000*Constants!$D$22/1000000000*(B66-Constants!$C$21)</f>
        <v>5.5365000000000004E-2</v>
      </c>
      <c r="H66" s="208">
        <f>B66*C66*(B66/(Constants!$C$23*1000000000)*IF(ISBLANK(Design!$B$32),Design!$B$31,Design!$B$32)*1000000/2+B66/(Constants!$C$24*1000000000)*IF(ISBLANK(Design!$B$32),Design!$B$31,Design!$B$32)*1000000/2)</f>
        <v>0.278034382127193</v>
      </c>
      <c r="I66" s="208">
        <f t="shared" ca="1" si="13"/>
        <v>0.77204055134396443</v>
      </c>
      <c r="J66" s="208">
        <f>Constants!$D$22/1000000000*Constants!$C$21*IF(ISBLANK(Design!$B$32),Design!$B$31,Design!$B$32)*1000000</f>
        <v>4.9999999999999996E-2</v>
      </c>
      <c r="K66" s="208">
        <f t="shared" ca="1" si="22"/>
        <v>1.1554399334711574</v>
      </c>
      <c r="L66" s="208">
        <f t="shared" ca="1" si="17"/>
        <v>0.72777131220320568</v>
      </c>
      <c r="M66" s="209">
        <f ca="1">$A66+L66*Design!$B$19</f>
        <v>126.48296479558272</v>
      </c>
      <c r="N66" s="209">
        <f ca="1">K66*Design!$C$12+A66</f>
        <v>124.28495773801936</v>
      </c>
      <c r="O66" s="209">
        <f ca="1">Constants!$D$19+Constants!$D$19*Constants!$C$20/100*(N66-25)</f>
        <v>132.46932209138924</v>
      </c>
      <c r="P66" s="208">
        <f ca="1">(1-Constants!$D$17/1000000000*Design!$B$32*1000000) * ($B66+D66-C66*O66/1000) - (D66+C66*(1+($A66-25)*Constants!$C$31/100)*IF(ISBLANK(Design!$B$40),Constants!$C$6/1000,Design!$B$40/1000))</f>
        <v>5.6258815147878449</v>
      </c>
      <c r="Q66" s="158">
        <f ca="1">IF(P66&gt;Design!$C$28,Design!$C$28,P66)</f>
        <v>3.3239005736137672</v>
      </c>
      <c r="R66" s="159">
        <f>2*Design!$D$6/3</f>
        <v>2.3333333333333335</v>
      </c>
      <c r="S66" s="159">
        <f ca="1">FORECAST(R66, OFFSET(Design!$C$15:$C$17,MATCH(R66,Design!$B$15:$B$17,1)-1,0,2), OFFSET(Design!$B$15:$B$17,MATCH(R66,Design!$B$15:$B$17,1)-1,0,2))+(AB66-25)*Design!$B$18/1000</f>
        <v>0.38093941626855049</v>
      </c>
      <c r="T66" s="225">
        <f ca="1">IF(100*(Design!$C$28+S66+R66*IF(ISBLANK(Design!$B$40),Constants!$C$6,Design!$B$40)/1000*(1+Constants!$C$31/100*(AC66-25)))/($B66+S66-R66*AD66/1000)&gt;Design!$C$35,Design!$C$35,100*(Design!$C$28+S66+R66*IF(ISBLANK(Design!$B$40),Constants!$C$6,Design!$B$40)/1000*(1+Constants!$C$31/100*(AC66-25)))/($B66+S66-R66*AD66/1000))</f>
        <v>45.931218340039898</v>
      </c>
      <c r="U66" s="160">
        <f ca="1">IF(($B66-R66*IF(ISBLANK(Design!$B$40),Constants!$C$6,Design!$B$40)/1000*(1+Constants!$C$31/100*(AC66-25))-Design!$C$28)/(IF(ISBLANK(Design!$B$39),Design!$B$38,Design!$B$39)/1000000)*T66/100/(IF(ISBLANK(Design!$B$32),Design!$B$31,Design!$B$32)*1000000)&lt;0,0,($B66-R66*IF(ISBLANK(Design!$B$40),Constants!$C$6,Design!$B$40)/1000*(1+Constants!$C$31/100*(AC66-25))-Design!$C$28)/(IF(ISBLANK(Design!$B$39),Design!$B$38,Design!$B$39)/1000000)*T66/100/(IF(ISBLANK(Design!$B$32),Design!$B$31,Design!$B$32)*1000000))</f>
        <v>0.49268499638061108</v>
      </c>
      <c r="V66" s="226">
        <f>$B66*Constants!$C$18/1000+IF(ISBLANK(Design!$B$32),Design!$B$31,Design!$B$32)*1000000*Constants!$D$22/1000000000*($B66-Constants!$C$21)</f>
        <v>5.5365000000000004E-2</v>
      </c>
      <c r="W66" s="226">
        <f>$B66*R66*($B66/(Constants!$C$23*1000000000)*IF(ISBLANK(Design!$B$32),Design!$B$31,Design!$B$32)*1000000/2+$B66/(Constants!$C$24*1000000000)*IF(ISBLANK(Design!$B$32),Design!$B$31,Design!$B$32)*1000000/2)</f>
        <v>0.18535625475146203</v>
      </c>
      <c r="X66" s="226">
        <f t="shared" ca="1" si="14"/>
        <v>0.30786135043072665</v>
      </c>
      <c r="Y66" s="226">
        <f>Constants!$D$22/1000000000*Constants!$C$21*IF(ISBLANK(Design!$B$32),Design!$B$31,Design!$B$32)*1000000</f>
        <v>4.9999999999999996E-2</v>
      </c>
      <c r="Z66" s="226">
        <f t="shared" ca="1" si="23"/>
        <v>0.59858260518218875</v>
      </c>
      <c r="AA66" s="226">
        <f t="shared" ca="1" si="19"/>
        <v>0.48059503622426125</v>
      </c>
      <c r="AB66" s="227">
        <f ca="1">$A66+AA66*Design!$B$19</f>
        <v>112.3939170647829</v>
      </c>
      <c r="AC66" s="227">
        <f ca="1">Z66*Design!$C$12+$A66</f>
        <v>105.35180857619441</v>
      </c>
      <c r="AD66" s="227">
        <f ca="1">Constants!$D$19+Constants!$D$19*Constants!$C$20/100*(AC66-25)</f>
        <v>122.65437756589918</v>
      </c>
      <c r="AE66" s="226">
        <f ca="1">(1-Constants!$D$17/1000000000*Design!$B$32*1000000) * ($B66+S66-R66*AD66/1000) - (S66+R66*(1+($A66-25)*Constants!$C$31/100)*IF(ISBLANK(Design!$B$40),Constants!$C$6/1000,Design!$B$40/1000))</f>
        <v>5.7931967772120192</v>
      </c>
      <c r="AF66" s="160">
        <f ca="1">IF(AE66&gt;Design!$C$28,Design!$C$28,AE66)</f>
        <v>3.3239005736137672</v>
      </c>
      <c r="AG66" s="161">
        <f>Design!$D$6/3</f>
        <v>1.1666666666666667</v>
      </c>
      <c r="AH66" s="161">
        <f ca="1">FORECAST(AG66, OFFSET(Design!$C$15:$C$17,MATCH(AG66,Design!$B$15:$B$17,1)-1,0,2), OFFSET(Design!$B$15:$B$17,MATCH(AG66,Design!$B$15:$B$17,1)-1,0,2))+(AQ66-25)*Design!$B$18/1000</f>
        <v>0.32322193157998014</v>
      </c>
      <c r="AI66" s="239">
        <f ca="1">IF(100*(Design!$C$28+AH66+AG66*IF(ISBLANK(Design!$B$40),Constants!$C$6,Design!$B$40)/1000*(1+Constants!$C$31/100*(AR66-25)))/($B66+AH66-AG66*AS66/1000)&gt;Design!$C$35,Design!$C$35,100*(Design!$C$28+AH66+AG66*IF(ISBLANK(Design!$B$40),Constants!$C$6,Design!$B$40)/1000*(1+Constants!$C$31/100*(AR66-25)))/($B66+AH66-AG66*AS66/1000))</f>
        <v>44.3420965975832</v>
      </c>
      <c r="AJ66" s="162">
        <f ca="1">IF(($B66-AG66*IF(ISBLANK(Design!$B$40),Constants!$C$6,Design!$B$40)/1000*(1+Constants!$C$31/100*(AR66-25))-Design!$C$28)/(IF(ISBLANK(Design!$B$39),Design!$B$38,Design!$B$39)/1000000)*AI66/100/(IF(ISBLANK(Design!$B$32),Design!$B$31,Design!$B$32)*1000000)&lt;0,0,($B66-AG66*IF(ISBLANK(Design!$B$40),Constants!$C$6,Design!$B$40)/1000*(1+Constants!$C$31/100*(AR66-25))-Design!$C$28)/(IF(ISBLANK(Design!$B$39),Design!$B$38,Design!$B$39)/1000000)*AI66/100/(IF(ISBLANK(Design!$B$32),Design!$B$31,Design!$B$32)*1000000))</f>
        <v>0.4788365608677192</v>
      </c>
      <c r="AK66" s="240">
        <f>$B66*Constants!$C$18/1000+IF(ISBLANK(Design!$B$32),Design!$B$31,Design!$B$32)*1000000*Constants!$D$22/1000000000*($B66-Constants!$C$21)</f>
        <v>5.5365000000000004E-2</v>
      </c>
      <c r="AL66" s="240">
        <f>$B66*AG66*($B66/(Constants!$C$23*1000000000)*IF(ISBLANK(Design!$B$32),Design!$B$31,Design!$B$32)*1000000/2+$B66/(Constants!$C$24*1000000000)*IF(ISBLANK(Design!$B$32),Design!$B$31,Design!$B$32)*1000000/2)</f>
        <v>9.2678127375731015E-2</v>
      </c>
      <c r="AM66" s="240">
        <f t="shared" ca="1" si="15"/>
        <v>7.1517426114753854E-2</v>
      </c>
      <c r="AN66" s="240">
        <f>Constants!$D$22/1000000000*Constants!$C$21*IF(ISBLANK(Design!$B$32),Design!$B$31,Design!$B$32)*1000000</f>
        <v>4.9999999999999996E-2</v>
      </c>
      <c r="AO66" s="240">
        <f t="shared" ca="1" si="24"/>
        <v>0.26956055349048486</v>
      </c>
      <c r="AP66" s="240">
        <f t="shared" ca="1" si="21"/>
        <v>0.20988164219657957</v>
      </c>
      <c r="AQ66" s="241">
        <f ca="1">$A66+AP66*Design!$B$19</f>
        <v>96.96325360520504</v>
      </c>
      <c r="AR66" s="241">
        <f ca="1">AO66*Design!$C$12+$A66</f>
        <v>94.165058818676485</v>
      </c>
      <c r="AS66" s="241">
        <f ca="1">Constants!$D$19+Constants!$D$19*Constants!$C$20/100*(AR66-25)</f>
        <v>116.85516649160189</v>
      </c>
      <c r="AT66" s="240">
        <f ca="1">(1-Constants!$D$17/1000000000*Design!$B$32*1000000) * ($B66+AH66-AG66*AS66/1000) - (AH66+AG66*(1+($A66-25)*Constants!$C$31/100)*IF(ISBLANK(Design!$B$40),Constants!$C$6/1000,Design!$B$40/1000))</f>
        <v>5.9497798221315845</v>
      </c>
      <c r="AU66" s="162">
        <f ca="1">IF(AT66&gt;Design!$C$28,Design!$C$28,AT66)</f>
        <v>3.3239005736137672</v>
      </c>
    </row>
    <row r="67" spans="1:47" ht="12.75" customHeight="1">
      <c r="A67" s="155">
        <f>Design!$D$13</f>
        <v>85</v>
      </c>
      <c r="B67" s="156">
        <f t="shared" si="12"/>
        <v>7.9000000000000012</v>
      </c>
      <c r="C67" s="157">
        <f>Design!$D$6</f>
        <v>3.5</v>
      </c>
      <c r="D67" s="157">
        <f ca="1">FORECAST(C67, OFFSET(Design!$C$15:$C$17,MATCH(C67,Design!$B$15:$B$17,1)-1,0,2), OFFSET(Design!$B$15:$B$17,MATCH(C67,Design!$B$15:$B$17,1)-1,0,2))+(M67-25)*Design!$B$18/1000</f>
        <v>0.39691373022383136</v>
      </c>
      <c r="E67" s="216">
        <f ca="1">IF(100*(Design!$C$28+D67+C67*IF(ISBLANK(Design!$B$40),Constants!$C$6,Design!$B$40)/1000*(1+Constants!$C$31/100*(N67-25)))/($B67+D67-C67*O67/1000)&gt;Design!$C$35,Design!$C$35,100*(Design!$C$28+D67+C67*IF(ISBLANK(Design!$B$40),Constants!$C$6,Design!$B$40)/1000*(1+Constants!$C$31/100*(N67-25)))/($B67+D67-C67*O67/1000))</f>
        <v>48.744542387586577</v>
      </c>
      <c r="F67" s="158">
        <f ca="1">IF(($B67-C67*IF(ISBLANK(Design!$B$40),Constants!$C$6,Design!$B$40)/1000*(1+Constants!$C$31/100*(N67-25))-Design!$C$28)/(IF(ISBLANK(Design!$B$39),Design!$B$38,Design!$B$39)/1000000)*E67/100/(IF(ISBLANK(Design!$B$32),Design!$B$31,Design!$B$32)*1000000)&lt;0,0,($B67-C67*IF(ISBLANK(Design!$B$40),Constants!$C$6,Design!$B$40)/1000*(1+Constants!$C$31/100*(N67-25))-Design!$C$28)/(IF(ISBLANK(Design!$B$39),Design!$B$38,Design!$B$39)/1000000)*E67/100/(IF(ISBLANK(Design!$B$32),Design!$B$31,Design!$B$32)*1000000))</f>
        <v>0.49616926705945974</v>
      </c>
      <c r="G67" s="208">
        <f>B67*Constants!$C$18/1000+IF(ISBLANK(Design!$B$32),Design!$B$31,Design!$B$32)*1000000*Constants!$D$22/1000000000*(B67-Constants!$C$21)</f>
        <v>5.2700000000000011E-2</v>
      </c>
      <c r="H67" s="208">
        <f>B67*C67*(B67/(Constants!$C$23*1000000000)*IF(ISBLANK(Design!$B$32),Design!$B$31,Design!$B$32)*1000000/2+B67/(Constants!$C$24*1000000000)*IF(ISBLANK(Design!$B$32),Design!$B$31,Design!$B$32)*1000000/2)</f>
        <v>0.26414758771929836</v>
      </c>
      <c r="I67" s="208">
        <f t="shared" ca="1" si="13"/>
        <v>0.79276641675698289</v>
      </c>
      <c r="J67" s="208">
        <f>Constants!$D$22/1000000000*Constants!$C$21*IF(ISBLANK(Design!$B$32),Design!$B$31,Design!$B$32)*1000000</f>
        <v>4.9999999999999996E-2</v>
      </c>
      <c r="K67" s="208">
        <f t="shared" ca="1" si="22"/>
        <v>1.1596140044762813</v>
      </c>
      <c r="L67" s="208">
        <f t="shared" ca="1" si="17"/>
        <v>0.71203982063453697</v>
      </c>
      <c r="M67" s="209">
        <f ca="1">$A67+L67*Design!$B$19</f>
        <v>125.58626977616861</v>
      </c>
      <c r="N67" s="209">
        <f ca="1">K67*Design!$C$12+A67</f>
        <v>124.42687615219356</v>
      </c>
      <c r="O67" s="209">
        <f ca="1">Constants!$D$19+Constants!$D$19*Constants!$C$20/100*(N67-25)</f>
        <v>132.54289259729714</v>
      </c>
      <c r="P67" s="208">
        <f ca="1">(1-Constants!$D$17/1000000000*Design!$B$32*1000000) * ($B67+D67-C67*O67/1000) - (D67+C67*(1+($A67-25)*Constants!$C$31/100)*IF(ISBLANK(Design!$B$40),Constants!$C$6/1000,Design!$B$40/1000))</f>
        <v>5.4696706104374719</v>
      </c>
      <c r="Q67" s="158">
        <f ca="1">IF(P67&gt;Design!$C$28,Design!$C$28,P67)</f>
        <v>3.3239005736137672</v>
      </c>
      <c r="R67" s="159">
        <f>2*Design!$D$6/3</f>
        <v>2.3333333333333335</v>
      </c>
      <c r="S67" s="159">
        <f ca="1">FORECAST(R67, OFFSET(Design!$C$15:$C$17,MATCH(R67,Design!$B$15:$B$17,1)-1,0,2), OFFSET(Design!$B$15:$B$17,MATCH(R67,Design!$B$15:$B$17,1)-1,0,2))+(AB67-25)*Design!$B$18/1000</f>
        <v>0.38149801763439506</v>
      </c>
      <c r="T67" s="225">
        <f ca="1">IF(100*(Design!$C$28+S67+R67*IF(ISBLANK(Design!$B$40),Constants!$C$6,Design!$B$40)/1000*(1+Constants!$C$31/100*(AC67-25)))/($B67+S67-R67*AD67/1000)&gt;Design!$C$35,Design!$C$35,100*(Design!$C$28+S67+R67*IF(ISBLANK(Design!$B$40),Constants!$C$6,Design!$B$40)/1000*(1+Constants!$C$31/100*(AC67-25)))/($B67+S67-R67*AD67/1000))</f>
        <v>47.111313390145867</v>
      </c>
      <c r="U67" s="160">
        <f ca="1">IF(($B67-R67*IF(ISBLANK(Design!$B$40),Constants!$C$6,Design!$B$40)/1000*(1+Constants!$C$31/100*(AC67-25))-Design!$C$28)/(IF(ISBLANK(Design!$B$39),Design!$B$38,Design!$B$39)/1000000)*T67/100/(IF(ISBLANK(Design!$B$32),Design!$B$31,Design!$B$32)*1000000)&lt;0,0,($B67-R67*IF(ISBLANK(Design!$B$40),Constants!$C$6,Design!$B$40)/1000*(1+Constants!$C$31/100*(AC67-25))-Design!$C$28)/(IF(ISBLANK(Design!$B$39),Design!$B$38,Design!$B$39)/1000000)*T67/100/(IF(ISBLANK(Design!$B$32),Design!$B$31,Design!$B$32)*1000000))</f>
        <v>0.48339663115711845</v>
      </c>
      <c r="V67" s="226">
        <f>$B67*Constants!$C$18/1000+IF(ISBLANK(Design!$B$32),Design!$B$31,Design!$B$32)*1000000*Constants!$D$22/1000000000*($B67-Constants!$C$21)</f>
        <v>5.2700000000000011E-2</v>
      </c>
      <c r="W67" s="226">
        <f>$B67*R67*($B67/(Constants!$C$23*1000000000)*IF(ISBLANK(Design!$B$32),Design!$B$31,Design!$B$32)*1000000/2+$B67/(Constants!$C$24*1000000000)*IF(ISBLANK(Design!$B$32),Design!$B$31,Design!$B$32)*1000000/2)</f>
        <v>0.17609839181286557</v>
      </c>
      <c r="X67" s="226">
        <f t="shared" ca="1" si="14"/>
        <v>0.31553466578691769</v>
      </c>
      <c r="Y67" s="226">
        <f>Constants!$D$22/1000000000*Constants!$C$21*IF(ISBLANK(Design!$B$32),Design!$B$31,Design!$B$32)*1000000</f>
        <v>4.9999999999999996E-2</v>
      </c>
      <c r="Z67" s="226">
        <f t="shared" ca="1" si="23"/>
        <v>0.59433305759978339</v>
      </c>
      <c r="AA67" s="226">
        <f t="shared" ca="1" si="19"/>
        <v>0.47079501226207626</v>
      </c>
      <c r="AB67" s="227">
        <f ca="1">$A67+AA67*Design!$B$19</f>
        <v>111.83531569893835</v>
      </c>
      <c r="AC67" s="227">
        <f ca="1">Z67*Design!$C$12+$A67</f>
        <v>105.20732395839264</v>
      </c>
      <c r="AD67" s="227">
        <f ca="1">Constants!$D$19+Constants!$D$19*Constants!$C$20/100*(AC67-25)</f>
        <v>122.57947674003074</v>
      </c>
      <c r="AE67" s="226">
        <f ca="1">(1-Constants!$D$17/1000000000*Design!$B$32*1000000) * ($B67+S67-R67*AD67/1000) - (S67+R67*(1+($A67-25)*Constants!$C$31/100)*IF(ISBLANK(Design!$B$40),Constants!$C$6/1000,Design!$B$40/1000))</f>
        <v>5.6373955370154247</v>
      </c>
      <c r="AF67" s="160">
        <f ca="1">IF(AE67&gt;Design!$C$28,Design!$C$28,AE67)</f>
        <v>3.3239005736137672</v>
      </c>
      <c r="AG67" s="161">
        <f>Design!$D$6/3</f>
        <v>1.1666666666666667</v>
      </c>
      <c r="AH67" s="161">
        <f ca="1">FORECAST(AG67, OFFSET(Design!$C$15:$C$17,MATCH(AG67,Design!$B$15:$B$17,1)-1,0,2), OFFSET(Design!$B$15:$B$17,MATCH(AG67,Design!$B$15:$B$17,1)-1,0,2))+(AQ67-25)*Design!$B$18/1000</f>
        <v>0.32345523212354271</v>
      </c>
      <c r="AI67" s="239">
        <f ca="1">IF(100*(Design!$C$28+AH67+AG67*IF(ISBLANK(Design!$B$40),Constants!$C$6,Design!$B$40)/1000*(1+Constants!$C$31/100*(AR67-25)))/($B67+AH67-AG67*AS67/1000)&gt;Design!$C$35,Design!$C$35,100*(Design!$C$28+AH67+AG67*IF(ISBLANK(Design!$B$40),Constants!$C$6,Design!$B$40)/1000*(1+Constants!$C$31/100*(AR67-25)))/($B67+AH67-AG67*AS67/1000))</f>
        <v>45.466867100707674</v>
      </c>
      <c r="AJ67" s="162">
        <f ca="1">IF(($B67-AG67*IF(ISBLANK(Design!$B$40),Constants!$C$6,Design!$B$40)/1000*(1+Constants!$C$31/100*(AR67-25))-Design!$C$28)/(IF(ISBLANK(Design!$B$39),Design!$B$38,Design!$B$39)/1000000)*AI67/100/(IF(ISBLANK(Design!$B$32),Design!$B$31,Design!$B$32)*1000000)&lt;0,0,($B67-AG67*IF(ISBLANK(Design!$B$40),Constants!$C$6,Design!$B$40)/1000*(1+Constants!$C$31/100*(AR67-25))-Design!$C$28)/(IF(ISBLANK(Design!$B$39),Design!$B$38,Design!$B$39)/1000000)*AI67/100/(IF(ISBLANK(Design!$B$32),Design!$B$31,Design!$B$32)*1000000))</f>
        <v>0.46980097984163061</v>
      </c>
      <c r="AK67" s="240">
        <f>$B67*Constants!$C$18/1000+IF(ISBLANK(Design!$B$32),Design!$B$31,Design!$B$32)*1000000*Constants!$D$22/1000000000*($B67-Constants!$C$21)</f>
        <v>5.2700000000000011E-2</v>
      </c>
      <c r="AL67" s="240">
        <f>$B67*AG67*($B67/(Constants!$C$23*1000000000)*IF(ISBLANK(Design!$B$32),Design!$B$31,Design!$B$32)*1000000/2+$B67/(Constants!$C$24*1000000000)*IF(ISBLANK(Design!$B$32),Design!$B$31,Design!$B$32)*1000000/2)</f>
        <v>8.8049195906432787E-2</v>
      </c>
      <c r="AM67" s="240">
        <f t="shared" ca="1" si="15"/>
        <v>7.3231887172747701E-2</v>
      </c>
      <c r="AN67" s="240">
        <f>Constants!$D$22/1000000000*Constants!$C$21*IF(ISBLANK(Design!$B$32),Design!$B$31,Design!$B$32)*1000000</f>
        <v>4.9999999999999996E-2</v>
      </c>
      <c r="AO67" s="240">
        <f t="shared" ca="1" si="24"/>
        <v>0.2639810830791805</v>
      </c>
      <c r="AP67" s="240">
        <f t="shared" ca="1" si="21"/>
        <v>0.20578865020425371</v>
      </c>
      <c r="AQ67" s="241">
        <f ca="1">$A67+AP67*Design!$B$19</f>
        <v>96.729953061642462</v>
      </c>
      <c r="AR67" s="241">
        <f ca="1">AO67*Design!$C$12+$A67</f>
        <v>93.975356824692142</v>
      </c>
      <c r="AS67" s="241">
        <f ca="1">Constants!$D$19+Constants!$D$19*Constants!$C$20/100*(AR67-25)</f>
        <v>116.75682497792042</v>
      </c>
      <c r="AT67" s="240">
        <f ca="1">(1-Constants!$D$17/1000000000*Design!$B$32*1000000) * ($B67+AH67-AG67*AS67/1000) - (AH67+AG67*(1+($A67-25)*Constants!$C$31/100)*IF(ISBLANK(Design!$B$40),Constants!$C$6/1000,Design!$B$40/1000))</f>
        <v>5.7940110261432629</v>
      </c>
      <c r="AU67" s="162">
        <f ca="1">IF(AT67&gt;Design!$C$28,Design!$C$28,AT67)</f>
        <v>3.3239005736137672</v>
      </c>
    </row>
    <row r="68" spans="1:47" ht="12.75" customHeight="1">
      <c r="A68" s="155">
        <f>Design!$D$13</f>
        <v>85</v>
      </c>
      <c r="B68" s="156">
        <f t="shared" si="12"/>
        <v>7.6950000000000012</v>
      </c>
      <c r="C68" s="157">
        <f>Design!$D$6</f>
        <v>3.5</v>
      </c>
      <c r="D68" s="157">
        <f ca="1">FORECAST(C68, OFFSET(Design!$C$15:$C$17,MATCH(C68,Design!$B$15:$B$17,1)-1,0,2), OFFSET(Design!$B$15:$B$17,MATCH(C68,Design!$B$15:$B$17,1)-1,0,2))+(M68-25)*Design!$B$18/1000</f>
        <v>0.39786375686607262</v>
      </c>
      <c r="E68" s="216">
        <f ca="1">IF(100*(Design!$C$28+D68+C68*IF(ISBLANK(Design!$B$40),Constants!$C$6,Design!$B$40)/1000*(1+Constants!$C$31/100*(N68-25)))/($B68+D68-C68*O68/1000)&gt;Design!$C$35,Design!$C$35,100*(Design!$C$28+D68+C68*IF(ISBLANK(Design!$B$40),Constants!$C$6,Design!$B$40)/1000*(1+Constants!$C$31/100*(N68-25)))/($B68+D68-C68*O68/1000))</f>
        <v>50.063832903324851</v>
      </c>
      <c r="F68" s="158">
        <f ca="1">IF(($B68-C68*IF(ISBLANK(Design!$B$40),Constants!$C$6,Design!$B$40)/1000*(1+Constants!$C$31/100*(N68-25))-Design!$C$28)/(IF(ISBLANK(Design!$B$39),Design!$B$38,Design!$B$39)/1000000)*E68/100/(IF(ISBLANK(Design!$B$32),Design!$B$31,Design!$B$32)*1000000)&lt;0,0,($B68-C68*IF(ISBLANK(Design!$B$40),Constants!$C$6,Design!$B$40)/1000*(1+Constants!$C$31/100*(N68-25))-Design!$C$28)/(IF(ISBLANK(Design!$B$39),Design!$B$38,Design!$B$39)/1000000)*E68/100/(IF(ISBLANK(Design!$B$32),Design!$B$31,Design!$B$32)*1000000))</f>
        <v>0.48626687768381782</v>
      </c>
      <c r="G68" s="208">
        <f>B68*Constants!$C$18/1000+IF(ISBLANK(Design!$B$32),Design!$B$31,Design!$B$32)*1000000*Constants!$D$22/1000000000*(B68-Constants!$C$21)</f>
        <v>5.0035000000000017E-2</v>
      </c>
      <c r="H68" s="208">
        <f>B68*C68*(B68/(Constants!$C$23*1000000000)*IF(ISBLANK(Design!$B$32),Design!$B$31,Design!$B$32)*1000000/2+B68/(Constants!$C$24*1000000000)*IF(ISBLANK(Design!$B$32),Design!$B$31,Design!$B$32)*1000000/2)</f>
        <v>0.25061653125000011</v>
      </c>
      <c r="I68" s="208">
        <f t="shared" ca="1" si="13"/>
        <v>0.81480132509061753</v>
      </c>
      <c r="J68" s="208">
        <f>Constants!$D$22/1000000000*Constants!$C$21*IF(ISBLANK(Design!$B$32),Design!$B$31,Design!$B$32)*1000000</f>
        <v>4.9999999999999996E-2</v>
      </c>
      <c r="K68" s="208">
        <f t="shared" ca="1" si="22"/>
        <v>1.1654528563406177</v>
      </c>
      <c r="L68" s="208">
        <f t="shared" ca="1" si="17"/>
        <v>0.69537268656012974</v>
      </c>
      <c r="M68" s="209">
        <f ca="1">$A68+L68*Design!$B$19</f>
        <v>124.63624313392739</v>
      </c>
      <c r="N68" s="209">
        <f ca="1">K68*Design!$C$12+A68</f>
        <v>124.62539711558099</v>
      </c>
      <c r="O68" s="209">
        <f ca="1">Constants!$D$19+Constants!$D$19*Constants!$C$20/100*(N68-25)</f>
        <v>132.6458058647172</v>
      </c>
      <c r="P68" s="208">
        <f ca="1">(1-Constants!$D$17/1000000000*Design!$B$32*1000000) * ($B68+D68-C68*O68/1000) - (D68+C68*(1+($A68-25)*Constants!$C$31/100)*IF(ISBLANK(Design!$B$40),Constants!$C$6/1000,Design!$B$40/1000))</f>
        <v>5.3133688547519951</v>
      </c>
      <c r="Q68" s="158">
        <f ca="1">IF(P68&gt;Design!$C$28,Design!$C$28,P68)</f>
        <v>3.3239005736137672</v>
      </c>
      <c r="R68" s="159">
        <f>2*Design!$D$6/3</f>
        <v>2.3333333333333335</v>
      </c>
      <c r="S68" s="159">
        <f ca="1">FORECAST(R68, OFFSET(Design!$C$15:$C$17,MATCH(R68,Design!$B$15:$B$17,1)-1,0,2), OFFSET(Design!$B$15:$B$17,MATCH(R68,Design!$B$15:$B$17,1)-1,0,2))+(AB68-25)*Design!$B$18/1000</f>
        <v>0.38208788715221287</v>
      </c>
      <c r="T68" s="225">
        <f ca="1">IF(100*(Design!$C$28+S68+R68*IF(ISBLANK(Design!$B$40),Constants!$C$6,Design!$B$40)/1000*(1+Constants!$C$31/100*(AC68-25)))/($B68+S68-R68*AD68/1000)&gt;Design!$C$35,Design!$C$35,100*(Design!$C$28+S68+R68*IF(ISBLANK(Design!$B$40),Constants!$C$6,Design!$B$40)/1000*(1+Constants!$C$31/100*(AC68-25)))/($B68+S68-R68*AD68/1000))</f>
        <v>48.353719537221636</v>
      </c>
      <c r="U68" s="160">
        <f ca="1">IF(($B68-R68*IF(ISBLANK(Design!$B$40),Constants!$C$6,Design!$B$40)/1000*(1+Constants!$C$31/100*(AC68-25))-Design!$C$28)/(IF(ISBLANK(Design!$B$39),Design!$B$38,Design!$B$39)/1000000)*T68/100/(IF(ISBLANK(Design!$B$32),Design!$B$31,Design!$B$32)*1000000)&lt;0,0,($B68-R68*IF(ISBLANK(Design!$B$40),Constants!$C$6,Design!$B$40)/1000*(1+Constants!$C$31/100*(AC68-25))-Design!$C$28)/(IF(ISBLANK(Design!$B$39),Design!$B$38,Design!$B$39)/1000000)*T68/100/(IF(ISBLANK(Design!$B$32),Design!$B$31,Design!$B$32)*1000000))</f>
        <v>0.47361864338668569</v>
      </c>
      <c r="V68" s="226">
        <f>$B68*Constants!$C$18/1000+IF(ISBLANK(Design!$B$32),Design!$B$31,Design!$B$32)*1000000*Constants!$D$22/1000000000*($B68-Constants!$C$21)</f>
        <v>5.0035000000000017E-2</v>
      </c>
      <c r="W68" s="226">
        <f>$B68*R68*($B68/(Constants!$C$23*1000000000)*IF(ISBLANK(Design!$B$32),Design!$B$31,Design!$B$32)*1000000/2+$B68/(Constants!$C$24*1000000000)*IF(ISBLANK(Design!$B$32),Design!$B$31,Design!$B$32)*1000000/2)</f>
        <v>0.16707768750000007</v>
      </c>
      <c r="X68" s="226">
        <f t="shared" ca="1" si="14"/>
        <v>0.32364307571135226</v>
      </c>
      <c r="Y68" s="226">
        <f>Constants!$D$22/1000000000*Constants!$C$21*IF(ISBLANK(Design!$B$32),Design!$B$31,Design!$B$32)*1000000</f>
        <v>4.9999999999999996E-2</v>
      </c>
      <c r="Z68" s="226">
        <f t="shared" ca="1" si="23"/>
        <v>0.59075576321135237</v>
      </c>
      <c r="AA68" s="226">
        <f t="shared" ca="1" si="19"/>
        <v>0.460446424230184</v>
      </c>
      <c r="AB68" s="227">
        <f ca="1">$A68+AA68*Design!$B$19</f>
        <v>111.24544618112049</v>
      </c>
      <c r="AC68" s="227">
        <f ca="1">Z68*Design!$C$12+$A68</f>
        <v>105.08569594918598</v>
      </c>
      <c r="AD68" s="227">
        <f ca="1">Constants!$D$19+Constants!$D$19*Constants!$C$20/100*(AC68-25)</f>
        <v>122.51642478005802</v>
      </c>
      <c r="AE68" s="226">
        <f ca="1">(1-Constants!$D$17/1000000000*Design!$B$32*1000000) * ($B68+S68-R68*AD68/1000) - (S68+R68*(1+($A68-25)*Constants!$C$31/100)*IF(ISBLANK(Design!$B$40),Constants!$C$6/1000,Design!$B$40/1000))</f>
        <v>5.4815657804735007</v>
      </c>
      <c r="AF68" s="160">
        <f ca="1">IF(AE68&gt;Design!$C$28,Design!$C$28,AE68)</f>
        <v>3.3239005736137672</v>
      </c>
      <c r="AG68" s="161">
        <f>Design!$D$6/3</f>
        <v>1.1666666666666667</v>
      </c>
      <c r="AH68" s="161">
        <f ca="1">FORECAST(AG68, OFFSET(Design!$C$15:$C$17,MATCH(AG68,Design!$B$15:$B$17,1)-1,0,2), OFFSET(Design!$B$15:$B$17,MATCH(AG68,Design!$B$15:$B$17,1)-1,0,2))+(AQ68-25)*Design!$B$18/1000</f>
        <v>0.32370103516549159</v>
      </c>
      <c r="AI68" s="239">
        <f ca="1">IF(100*(Design!$C$28+AH68+AG68*IF(ISBLANK(Design!$B$40),Constants!$C$6,Design!$B$40)/1000*(1+Constants!$C$31/100*(AR68-25)))/($B68+AH68-AG68*AS68/1000)&gt;Design!$C$35,Design!$C$35,100*(Design!$C$28+AH68+AG68*IF(ISBLANK(Design!$B$40),Constants!$C$6,Design!$B$40)/1000*(1+Constants!$C$31/100*(AR68-25)))/($B68+AH68-AG68*AS68/1000))</f>
        <v>46.650159715967206</v>
      </c>
      <c r="AJ68" s="162">
        <f ca="1">IF(($B68-AG68*IF(ISBLANK(Design!$B$40),Constants!$C$6,Design!$B$40)/1000*(1+Constants!$C$31/100*(AR68-25))-Design!$C$28)/(IF(ISBLANK(Design!$B$39),Design!$B$38,Design!$B$39)/1000000)*AI68/100/(IF(ISBLANK(Design!$B$32),Design!$B$31,Design!$B$32)*1000000)&lt;0,0,($B68-AG68*IF(ISBLANK(Design!$B$40),Constants!$C$6,Design!$B$40)/1000*(1+Constants!$C$31/100*(AR68-25))-Design!$C$28)/(IF(ISBLANK(Design!$B$39),Design!$B$38,Design!$B$39)/1000000)*AI68/100/(IF(ISBLANK(Design!$B$32),Design!$B$31,Design!$B$32)*1000000))</f>
        <v>0.46029477187766155</v>
      </c>
      <c r="AK68" s="240">
        <f>$B68*Constants!$C$18/1000+IF(ISBLANK(Design!$B$32),Design!$B$31,Design!$B$32)*1000000*Constants!$D$22/1000000000*($B68-Constants!$C$21)</f>
        <v>5.0035000000000017E-2</v>
      </c>
      <c r="AL68" s="240">
        <f>$B68*AG68*($B68/(Constants!$C$23*1000000000)*IF(ISBLANK(Design!$B$32),Design!$B$31,Design!$B$32)*1000000/2+$B68/(Constants!$C$24*1000000000)*IF(ISBLANK(Design!$B$32),Design!$B$31,Design!$B$32)*1000000/2)</f>
        <v>8.3538843750000036E-2</v>
      </c>
      <c r="AM68" s="240">
        <f t="shared" ca="1" si="15"/>
        <v>7.5036759515381996E-2</v>
      </c>
      <c r="AN68" s="240">
        <f>Constants!$D$22/1000000000*Constants!$C$21*IF(ISBLANK(Design!$B$32),Design!$B$31,Design!$B$32)*1000000</f>
        <v>4.9999999999999996E-2</v>
      </c>
      <c r="AO68" s="240">
        <f t="shared" ca="1" si="24"/>
        <v>0.25861060326538204</v>
      </c>
      <c r="AP68" s="240">
        <f t="shared" ca="1" si="21"/>
        <v>0.20147631613497571</v>
      </c>
      <c r="AQ68" s="241">
        <f ca="1">$A68+AP68*Design!$B$19</f>
        <v>96.484150019693615</v>
      </c>
      <c r="AR68" s="241">
        <f ca="1">AO68*Design!$C$12+$A68</f>
        <v>93.79276051102299</v>
      </c>
      <c r="AS68" s="241">
        <f ca="1">Constants!$D$19+Constants!$D$19*Constants!$C$20/100*(AR68-25)</f>
        <v>116.66216704891433</v>
      </c>
      <c r="AT68" s="240">
        <f ca="1">(1-Constants!$D$17/1000000000*Design!$B$32*1000000) * ($B68+AH68-AG68*AS68/1000) - (AH68+AG68*(1+($A68-25)*Constants!$C$31/100)*IF(ISBLANK(Design!$B$40),Constants!$C$6/1000,Design!$B$40/1000))</f>
        <v>5.638235963443579</v>
      </c>
      <c r="AU68" s="162">
        <f ca="1">IF(AT68&gt;Design!$C$28,Design!$C$28,AT68)</f>
        <v>3.3239005736137672</v>
      </c>
    </row>
    <row r="69" spans="1:47" ht="12.75" customHeight="1">
      <c r="A69" s="155">
        <f>Design!$D$13</f>
        <v>85</v>
      </c>
      <c r="B69" s="156">
        <f t="shared" si="12"/>
        <v>7.4900000000000011</v>
      </c>
      <c r="C69" s="157">
        <f>Design!$D$6</f>
        <v>3.5</v>
      </c>
      <c r="D69" s="157">
        <f ca="1">FORECAST(C69, OFFSET(Design!$C$15:$C$17,MATCH(C69,Design!$B$15:$B$17,1)-1,0,2), OFFSET(Design!$B$15:$B$17,MATCH(C69,Design!$B$15:$B$17,1)-1,0,2))+(M69-25)*Design!$B$18/1000</f>
        <v>0.39887203523925313</v>
      </c>
      <c r="E69" s="216">
        <f ca="1">IF(100*(Design!$C$28+D69+C69*IF(ISBLANK(Design!$B$40),Constants!$C$6,Design!$B$40)/1000*(1+Constants!$C$31/100*(N69-25)))/($B69+D69-C69*O69/1000)&gt;Design!$C$35,Design!$C$35,100*(Design!$C$28+D69+C69*IF(ISBLANK(Design!$B$40),Constants!$C$6,Design!$B$40)/1000*(1+Constants!$C$31/100*(N69-25)))/($B69+D69-C69*O69/1000))</f>
        <v>51.457142540370029</v>
      </c>
      <c r="F69" s="158">
        <f ca="1">IF(($B69-C69*IF(ISBLANK(Design!$B$40),Constants!$C$6,Design!$B$40)/1000*(1+Constants!$C$31/100*(N69-25))-Design!$C$28)/(IF(ISBLANK(Design!$B$39),Design!$B$38,Design!$B$39)/1000000)*E69/100/(IF(ISBLANK(Design!$B$32),Design!$B$31,Design!$B$32)*1000000)&lt;0,0,($B69-C69*IF(ISBLANK(Design!$B$40),Constants!$C$6,Design!$B$40)/1000*(1+Constants!$C$31/100*(N69-25))-Design!$C$28)/(IF(ISBLANK(Design!$B$39),Design!$B$38,Design!$B$39)/1000000)*E69/100/(IF(ISBLANK(Design!$B$32),Design!$B$31,Design!$B$32)*1000000))</f>
        <v>0.47581731286015017</v>
      </c>
      <c r="G69" s="208">
        <f>B69*Constants!$C$18/1000+IF(ISBLANK(Design!$B$32),Design!$B$31,Design!$B$32)*1000000*Constants!$D$22/1000000000*(B69-Constants!$C$21)</f>
        <v>4.7370000000000016E-2</v>
      </c>
      <c r="H69" s="208">
        <f>B69*C69*(B69/(Constants!$C$23*1000000000)*IF(ISBLANK(Design!$B$32),Design!$B$31,Design!$B$32)*1000000/2+B69/(Constants!$C$24*1000000000)*IF(ISBLANK(Design!$B$32),Design!$B$31,Design!$B$32)*1000000/2)</f>
        <v>0.23744121271929833</v>
      </c>
      <c r="I69" s="208">
        <f t="shared" ca="1" si="13"/>
        <v>0.83826937083338693</v>
      </c>
      <c r="J69" s="208">
        <f>Constants!$D$22/1000000000*Constants!$C$21*IF(ISBLANK(Design!$B$32),Design!$B$31,Design!$B$32)*1000000</f>
        <v>4.9999999999999996E-2</v>
      </c>
      <c r="K69" s="208">
        <f t="shared" ca="1" si="22"/>
        <v>1.1730805835526852</v>
      </c>
      <c r="L69" s="208">
        <f t="shared" ca="1" si="17"/>
        <v>0.67768359229380493</v>
      </c>
      <c r="M69" s="209">
        <f ca="1">$A69+L69*Design!$B$19</f>
        <v>123.62796476074688</v>
      </c>
      <c r="N69" s="209">
        <f ca="1">K69*Design!$C$12+A69</f>
        <v>124.8847398407913</v>
      </c>
      <c r="O69" s="209">
        <f ca="1">Constants!$D$19+Constants!$D$19*Constants!$C$20/100*(N69-25)</f>
        <v>132.78024913346621</v>
      </c>
      <c r="P69" s="208">
        <f ca="1">(1-Constants!$D$17/1000000000*Design!$B$32*1000000) * ($B69+D69-C69*O69/1000) - (D69+C69*(1+($A69-25)*Constants!$C$31/100)*IF(ISBLANK(Design!$B$40),Constants!$C$6/1000,Design!$B$40/1000))</f>
        <v>5.1569692488475605</v>
      </c>
      <c r="Q69" s="158">
        <f ca="1">IF(P69&gt;Design!$C$28,Design!$C$28,P69)</f>
        <v>3.3239005736137672</v>
      </c>
      <c r="R69" s="159">
        <f>2*Design!$D$6/3</f>
        <v>2.3333333333333335</v>
      </c>
      <c r="S69" s="159">
        <f ca="1">FORECAST(R69, OFFSET(Design!$C$15:$C$17,MATCH(R69,Design!$B$15:$B$17,1)-1,0,2), OFFSET(Design!$B$15:$B$17,MATCH(R69,Design!$B$15:$B$17,1)-1,0,2))+(AB69-25)*Design!$B$18/1000</f>
        <v>0.38271172241982415</v>
      </c>
      <c r="T69" s="225">
        <f ca="1">IF(100*(Design!$C$28+S69+R69*IF(ISBLANK(Design!$B$40),Constants!$C$6,Design!$B$40)/1000*(1+Constants!$C$31/100*(AC69-25)))/($B69+S69-R69*AD69/1000)&gt;Design!$C$35,Design!$C$35,100*(Design!$C$28+S69+R69*IF(ISBLANK(Design!$B$40),Constants!$C$6,Design!$B$40)/1000*(1+Constants!$C$31/100*(AC69-25)))/($B69+S69-R69*AD69/1000))</f>
        <v>49.663498713610878</v>
      </c>
      <c r="U69" s="160">
        <f ca="1">IF(($B69-R69*IF(ISBLANK(Design!$B$40),Constants!$C$6,Design!$B$40)/1000*(1+Constants!$C$31/100*(AC69-25))-Design!$C$28)/(IF(ISBLANK(Design!$B$39),Design!$B$38,Design!$B$39)/1000000)*T69/100/(IF(ISBLANK(Design!$B$32),Design!$B$31,Design!$B$32)*1000000)&lt;0,0,($B69-R69*IF(ISBLANK(Design!$B$40),Constants!$C$6,Design!$B$40)/1000*(1+Constants!$C$31/100*(AC69-25))-Design!$C$28)/(IF(ISBLANK(Design!$B$39),Design!$B$38,Design!$B$39)/1000000)*T69/100/(IF(ISBLANK(Design!$B$32),Design!$B$31,Design!$B$32)*1000000))</f>
        <v>0.46331110983405427</v>
      </c>
      <c r="V69" s="226">
        <f>$B69*Constants!$C$18/1000+IF(ISBLANK(Design!$B$32),Design!$B$31,Design!$B$32)*1000000*Constants!$D$22/1000000000*($B69-Constants!$C$21)</f>
        <v>4.7370000000000016E-2</v>
      </c>
      <c r="W69" s="226">
        <f>$B69*R69*($B69/(Constants!$C$23*1000000000)*IF(ISBLANK(Design!$B$32),Design!$B$31,Design!$B$32)*1000000/2+$B69/(Constants!$C$24*1000000000)*IF(ISBLANK(Design!$B$32),Design!$B$31,Design!$B$32)*1000000/2)</f>
        <v>0.15829414181286555</v>
      </c>
      <c r="X69" s="226">
        <f t="shared" ca="1" si="14"/>
        <v>0.33222364398785231</v>
      </c>
      <c r="Y69" s="226">
        <f>Constants!$D$22/1000000000*Constants!$C$21*IF(ISBLANK(Design!$B$32),Design!$B$31,Design!$B$32)*1000000</f>
        <v>4.9999999999999996E-2</v>
      </c>
      <c r="Z69" s="226">
        <f t="shared" ca="1" si="23"/>
        <v>0.58788778580071788</v>
      </c>
      <c r="AA69" s="226">
        <f t="shared" ca="1" si="19"/>
        <v>0.44950194585103914</v>
      </c>
      <c r="AB69" s="227">
        <f ca="1">$A69+AA69*Design!$B$19</f>
        <v>110.62161091350923</v>
      </c>
      <c r="AC69" s="227">
        <f ca="1">Z69*Design!$C$12+$A69</f>
        <v>104.98818471722441</v>
      </c>
      <c r="AD69" s="227">
        <f ca="1">Constants!$D$19+Constants!$D$19*Constants!$C$20/100*(AC69-25)</f>
        <v>122.46587495740914</v>
      </c>
      <c r="AE69" s="226">
        <f ca="1">(1-Constants!$D$17/1000000000*Design!$B$32*1000000) * ($B69+S69-R69*AD69/1000) - (S69+R69*(1+($A69-25)*Constants!$C$31/100)*IF(ISBLANK(Design!$B$40),Constants!$C$6/1000,Design!$B$40/1000))</f>
        <v>5.3257057016947709</v>
      </c>
      <c r="AF69" s="160">
        <f ca="1">IF(AE69&gt;Design!$C$28,Design!$C$28,AE69)</f>
        <v>3.3239005736137672</v>
      </c>
      <c r="AG69" s="161">
        <f>Design!$D$6/3</f>
        <v>1.1666666666666667</v>
      </c>
      <c r="AH69" s="161">
        <f ca="1">FORECAST(AG69, OFFSET(Design!$C$15:$C$17,MATCH(AG69,Design!$B$15:$B$17,1)-1,0,2), OFFSET(Design!$B$15:$B$17,MATCH(AG69,Design!$B$15:$B$17,1)-1,0,2))+(AQ69-25)*Design!$B$18/1000</f>
        <v>0.32396037223833862</v>
      </c>
      <c r="AI69" s="239">
        <f ca="1">IF(100*(Design!$C$28+AH69+AG69*IF(ISBLANK(Design!$B$40),Constants!$C$6,Design!$B$40)/1000*(1+Constants!$C$31/100*(AR69-25)))/($B69+AH69-AG69*AS69/1000)&gt;Design!$C$35,Design!$C$35,100*(Design!$C$28+AH69+AG69*IF(ISBLANK(Design!$B$40),Constants!$C$6,Design!$B$40)/1000*(1+Constants!$C$31/100*(AR69-25)))/($B69+AH69-AG69*AS69/1000))</f>
        <v>47.89665832102277</v>
      </c>
      <c r="AJ69" s="162">
        <f ca="1">IF(($B69-AG69*IF(ISBLANK(Design!$B$40),Constants!$C$6,Design!$B$40)/1000*(1+Constants!$C$31/100*(AR69-25))-Design!$C$28)/(IF(ISBLANK(Design!$B$39),Design!$B$38,Design!$B$39)/1000000)*AI69/100/(IF(ISBLANK(Design!$B$32),Design!$B$31,Design!$B$32)*1000000)&lt;0,0,($B69-AG69*IF(ISBLANK(Design!$B$40),Constants!$C$6,Design!$B$40)/1000*(1+Constants!$C$31/100*(AR69-25))-Design!$C$28)/(IF(ISBLANK(Design!$B$39),Design!$B$38,Design!$B$39)/1000000)*AI69/100/(IF(ISBLANK(Design!$B$32),Design!$B$31,Design!$B$32)*1000000))</f>
        <v>0.4502801714694768</v>
      </c>
      <c r="AK69" s="240">
        <f>$B69*Constants!$C$18/1000+IF(ISBLANK(Design!$B$32),Design!$B$31,Design!$B$32)*1000000*Constants!$D$22/1000000000*($B69-Constants!$C$21)</f>
        <v>4.7370000000000016E-2</v>
      </c>
      <c r="AL69" s="240">
        <f>$B69*AG69*($B69/(Constants!$C$23*1000000000)*IF(ISBLANK(Design!$B$32),Design!$B$31,Design!$B$32)*1000000/2+$B69/(Constants!$C$24*1000000000)*IF(ISBLANK(Design!$B$32),Design!$B$31,Design!$B$32)*1000000/2)</f>
        <v>7.9147070906432776E-2</v>
      </c>
      <c r="AM69" s="240">
        <f t="shared" ca="1" si="15"/>
        <v>7.693932957725734E-2</v>
      </c>
      <c r="AN69" s="240">
        <f>Constants!$D$22/1000000000*Constants!$C$21*IF(ISBLANK(Design!$B$32),Design!$B$31,Design!$B$32)*1000000</f>
        <v>4.9999999999999996E-2</v>
      </c>
      <c r="AO69" s="240">
        <f t="shared" ca="1" si="24"/>
        <v>0.25345640048369011</v>
      </c>
      <c r="AP69" s="240">
        <f t="shared" ca="1" si="21"/>
        <v>0.19692654292713277</v>
      </c>
      <c r="AQ69" s="241">
        <f ca="1">$A69+AP69*Design!$B$19</f>
        <v>96.224812946846569</v>
      </c>
      <c r="AR69" s="241">
        <f ca="1">AO69*Design!$C$12+$A69</f>
        <v>93.617517616445468</v>
      </c>
      <c r="AS69" s="241">
        <f ca="1">Constants!$D$19+Constants!$D$19*Constants!$C$20/100*(AR69-25)</f>
        <v>116.57132113236534</v>
      </c>
      <c r="AT69" s="240">
        <f ca="1">(1-Constants!$D$17/1000000000*Design!$B$32*1000000) * ($B69+AH69-AG69*AS69/1000) - (AH69+AG69*(1+($A69-25)*Constants!$C$31/100)*IF(ISBLANK(Design!$B$40),Constants!$C$6/1000,Design!$B$40/1000))</f>
        <v>5.4824542725921024</v>
      </c>
      <c r="AU69" s="162">
        <f ca="1">IF(AT69&gt;Design!$C$28,Design!$C$28,AT69)</f>
        <v>3.3239005736137672</v>
      </c>
    </row>
    <row r="70" spans="1:47" ht="12.75" customHeight="1">
      <c r="A70" s="155">
        <f>Design!$D$13</f>
        <v>85</v>
      </c>
      <c r="B70" s="156">
        <f t="shared" si="12"/>
        <v>7.285000000000001</v>
      </c>
      <c r="C70" s="157">
        <f>Design!$D$6</f>
        <v>3.5</v>
      </c>
      <c r="D70" s="157">
        <f ca="1">FORECAST(C70, OFFSET(Design!$C$15:$C$17,MATCH(C70,Design!$B$15:$B$17,1)-1,0,2), OFFSET(Design!$B$15:$B$17,MATCH(C70,Design!$B$15:$B$17,1)-1,0,2))+(M70-25)*Design!$B$18/1000</f>
        <v>0.39994411260410312</v>
      </c>
      <c r="E70" s="216">
        <f ca="1">IF(100*(Design!$C$28+D70+C70*IF(ISBLANK(Design!$B$40),Constants!$C$6,Design!$B$40)/1000*(1+Constants!$C$31/100*(N70-25)))/($B70+D70-C70*O70/1000)&gt;Design!$C$35,Design!$C$35,100*(Design!$C$28+D70+C70*IF(ISBLANK(Design!$B$40),Constants!$C$6,Design!$B$40)/1000*(1+Constants!$C$31/100*(N70-25)))/($B70+D70-C70*O70/1000))</f>
        <v>52.930908043852995</v>
      </c>
      <c r="F70" s="158">
        <f ca="1">IF(($B70-C70*IF(ISBLANK(Design!$B$40),Constants!$C$6,Design!$B$40)/1000*(1+Constants!$C$31/100*(N70-25))-Design!$C$28)/(IF(ISBLANK(Design!$B$39),Design!$B$38,Design!$B$39)/1000000)*E70/100/(IF(ISBLANK(Design!$B$32),Design!$B$31,Design!$B$32)*1000000)&lt;0,0,($B70-C70*IF(ISBLANK(Design!$B$40),Constants!$C$6,Design!$B$40)/1000*(1+Constants!$C$31/100*(N70-25))-Design!$C$28)/(IF(ISBLANK(Design!$B$39),Design!$B$38,Design!$B$39)/1000000)*E70/100/(IF(ISBLANK(Design!$B$32),Design!$B$31,Design!$B$32)*1000000))</f>
        <v>0.46477328063467338</v>
      </c>
      <c r="G70" s="208">
        <f>B70*Constants!$C$18/1000+IF(ISBLANK(Design!$B$32),Design!$B$31,Design!$B$32)*1000000*Constants!$D$22/1000000000*(B70-Constants!$C$21)</f>
        <v>4.4705000000000009E-2</v>
      </c>
      <c r="H70" s="208">
        <f>B70*C70*(B70/(Constants!$C$23*1000000000)*IF(ISBLANK(Design!$B$32),Design!$B$31,Design!$B$32)*1000000/2+B70/(Constants!$C$24*1000000000)*IF(ISBLANK(Design!$B$32),Design!$B$31,Design!$B$32)*1000000/2)</f>
        <v>0.22462163212719302</v>
      </c>
      <c r="I70" s="208">
        <f t="shared" ca="1" si="13"/>
        <v>0.86331092630280615</v>
      </c>
      <c r="J70" s="208">
        <f>Constants!$D$22/1000000000*Constants!$C$21*IF(ISBLANK(Design!$B$32),Design!$B$31,Design!$B$32)*1000000</f>
        <v>4.9999999999999996E-2</v>
      </c>
      <c r="K70" s="208">
        <f t="shared" ca="1" si="22"/>
        <v>1.1826375584299993</v>
      </c>
      <c r="L70" s="208">
        <f t="shared" ca="1" si="17"/>
        <v>0.65887521747187494</v>
      </c>
      <c r="M70" s="209">
        <f ca="1">$A70+L70*Design!$B$19</f>
        <v>122.55588739589687</v>
      </c>
      <c r="N70" s="209">
        <f ca="1">K70*Design!$C$12+A70</f>
        <v>125.20967698661997</v>
      </c>
      <c r="O70" s="209">
        <f ca="1">Constants!$D$19+Constants!$D$19*Constants!$C$20/100*(N70-25)</f>
        <v>132.9486965498638</v>
      </c>
      <c r="P70" s="208">
        <f ca="1">(1-Constants!$D$17/1000000000*Design!$B$32*1000000) * ($B70+D70-C70*O70/1000) - (D70+C70*(1+($A70-25)*Constants!$C$31/100)*IF(ISBLANK(Design!$B$40),Constants!$C$6/1000,Design!$B$40/1000))</f>
        <v>5.0004638801523784</v>
      </c>
      <c r="Q70" s="158">
        <f ca="1">IF(P70&gt;Design!$C$28,Design!$C$28,P70)</f>
        <v>3.3239005736137672</v>
      </c>
      <c r="R70" s="159">
        <f>2*Design!$D$6/3</f>
        <v>2.3333333333333335</v>
      </c>
      <c r="S70" s="159">
        <f ca="1">FORECAST(R70, OFFSET(Design!$C$15:$C$17,MATCH(R70,Design!$B$15:$B$17,1)-1,0,2), OFFSET(Design!$B$15:$B$17,MATCH(R70,Design!$B$15:$B$17,1)-1,0,2))+(AB70-25)*Design!$B$18/1000</f>
        <v>0.38337254019400469</v>
      </c>
      <c r="T70" s="225">
        <f ca="1">IF(100*(Design!$C$28+S70+R70*IF(ISBLANK(Design!$B$40),Constants!$C$6,Design!$B$40)/1000*(1+Constants!$C$31/100*(AC70-25)))/($B70+S70-R70*AD70/1000)&gt;Design!$C$35,Design!$C$35,100*(Design!$C$28+S70+R70*IF(ISBLANK(Design!$B$40),Constants!$C$6,Design!$B$40)/1000*(1+Constants!$C$31/100*(AC70-25)))/($B70+S70-R70*AD70/1000))</f>
        <v>51.046275695448145</v>
      </c>
      <c r="U70" s="160">
        <f ca="1">IF(($B70-R70*IF(ISBLANK(Design!$B$40),Constants!$C$6,Design!$B$40)/1000*(1+Constants!$C$31/100*(AC70-25))-Design!$C$28)/(IF(ISBLANK(Design!$B$39),Design!$B$38,Design!$B$39)/1000000)*T70/100/(IF(ISBLANK(Design!$B$32),Design!$B$31,Design!$B$32)*1000000)&lt;0,0,($B70-R70*IF(ISBLANK(Design!$B$40),Constants!$C$6,Design!$B$40)/1000*(1+Constants!$C$31/100*(AC70-25))-Design!$C$28)/(IF(ISBLANK(Design!$B$39),Design!$B$38,Design!$B$39)/1000000)*T70/100/(IF(ISBLANK(Design!$B$32),Design!$B$31,Design!$B$32)*1000000))</f>
        <v>0.45242965325588569</v>
      </c>
      <c r="V70" s="226">
        <f>$B70*Constants!$C$18/1000+IF(ISBLANK(Design!$B$32),Design!$B$31,Design!$B$32)*1000000*Constants!$D$22/1000000000*($B70-Constants!$C$21)</f>
        <v>4.4705000000000009E-2</v>
      </c>
      <c r="W70" s="226">
        <f>$B70*R70*($B70/(Constants!$C$23*1000000000)*IF(ISBLANK(Design!$B$32),Design!$B$31,Design!$B$32)*1000000/2+$B70/(Constants!$C$24*1000000000)*IF(ISBLANK(Design!$B$32),Design!$B$31,Design!$B$32)*1000000/2)</f>
        <v>0.14974775475146204</v>
      </c>
      <c r="X70" s="226">
        <f t="shared" ca="1" si="14"/>
        <v>0.34131777213708808</v>
      </c>
      <c r="Y70" s="226">
        <f>Constants!$D$22/1000000000*Constants!$C$21*IF(ISBLANK(Design!$B$32),Design!$B$31,Design!$B$32)*1000000</f>
        <v>4.9999999999999996E-2</v>
      </c>
      <c r="Z70" s="226">
        <f t="shared" ca="1" si="23"/>
        <v>0.58577052688855025</v>
      </c>
      <c r="AA70" s="226">
        <f t="shared" ca="1" si="19"/>
        <v>0.43790865156717079</v>
      </c>
      <c r="AB70" s="227">
        <f ca="1">$A70+AA70*Design!$B$19</f>
        <v>109.96079313932873</v>
      </c>
      <c r="AC70" s="227">
        <f ca="1">Z70*Design!$C$12+$A70</f>
        <v>104.91619791421071</v>
      </c>
      <c r="AD70" s="227">
        <f ca="1">Constants!$D$19+Constants!$D$19*Constants!$C$20/100*(AC70-25)</f>
        <v>122.42855699872683</v>
      </c>
      <c r="AE70" s="226">
        <f ca="1">(1-Constants!$D$17/1000000000*Design!$B$32*1000000) * ($B70+S70-R70*AD70/1000) - (S70+R70*(1+($A70-25)*Constants!$C$31/100)*IF(ISBLANK(Design!$B$40),Constants!$C$6/1000,Design!$B$40/1000))</f>
        <v>5.1698132826090308</v>
      </c>
      <c r="AF70" s="160">
        <f ca="1">IF(AE70&gt;Design!$C$28,Design!$C$28,AE70)</f>
        <v>3.3239005736137672</v>
      </c>
      <c r="AG70" s="161">
        <f>Design!$D$6/3</f>
        <v>1.1666666666666667</v>
      </c>
      <c r="AH70" s="161">
        <f ca="1">FORECAST(AG70, OFFSET(Design!$C$15:$C$17,MATCH(AG70,Design!$B$15:$B$17,1)-1,0,2), OFFSET(Design!$B$15:$B$17,MATCH(AG70,Design!$B$15:$B$17,1)-1,0,2))+(AQ70-25)*Design!$B$18/1000</f>
        <v>0.3242343914329841</v>
      </c>
      <c r="AI70" s="239">
        <f ca="1">IF(100*(Design!$C$28+AH70+AG70*IF(ISBLANK(Design!$B$40),Constants!$C$6,Design!$B$40)/1000*(1+Constants!$C$31/100*(AR70-25)))/($B70+AH70-AG70*AS70/1000)&gt;Design!$C$35,Design!$C$35,100*(Design!$C$28+AH70+AG70*IF(ISBLANK(Design!$B$40),Constants!$C$6,Design!$B$40)/1000*(1+Constants!$C$31/100*(AR70-25)))/($B70+AH70-AG70*AS70/1000))</f>
        <v>49.211559720462525</v>
      </c>
      <c r="AJ70" s="162">
        <f ca="1">IF(($B70-AG70*IF(ISBLANK(Design!$B$40),Constants!$C$6,Design!$B$40)/1000*(1+Constants!$C$31/100*(AR70-25))-Design!$C$28)/(IF(ISBLANK(Design!$B$39),Design!$B$38,Design!$B$39)/1000000)*AI70/100/(IF(ISBLANK(Design!$B$32),Design!$B$31,Design!$B$32)*1000000)&lt;0,0,($B70-AG70*IF(ISBLANK(Design!$B$40),Constants!$C$6,Design!$B$40)/1000*(1+Constants!$C$31/100*(AR70-25))-Design!$C$28)/(IF(ISBLANK(Design!$B$39),Design!$B$38,Design!$B$39)/1000000)*AI70/100/(IF(ISBLANK(Design!$B$32),Design!$B$31,Design!$B$32)*1000000))</f>
        <v>0.4397152667552483</v>
      </c>
      <c r="AK70" s="240">
        <f>$B70*Constants!$C$18/1000+IF(ISBLANK(Design!$B$32),Design!$B$31,Design!$B$32)*1000000*Constants!$D$22/1000000000*($B70-Constants!$C$21)</f>
        <v>4.4705000000000009E-2</v>
      </c>
      <c r="AL70" s="240">
        <f>$B70*AG70*($B70/(Constants!$C$23*1000000000)*IF(ISBLANK(Design!$B$32),Design!$B$31,Design!$B$32)*1000000/2+$B70/(Constants!$C$24*1000000000)*IF(ISBLANK(Design!$B$32),Design!$B$31,Design!$B$32)*1000000/2)</f>
        <v>7.4873877375731021E-2</v>
      </c>
      <c r="AM70" s="240">
        <f t="shared" ca="1" si="15"/>
        <v>7.8947695154568454E-2</v>
      </c>
      <c r="AN70" s="240">
        <f>Constants!$D$22/1000000000*Constants!$C$21*IF(ISBLANK(Design!$B$32),Design!$B$31,Design!$B$32)*1000000</f>
        <v>4.9999999999999996E-2</v>
      </c>
      <c r="AO70" s="240">
        <f t="shared" ca="1" si="24"/>
        <v>0.24852657253029947</v>
      </c>
      <c r="AP70" s="240">
        <f t="shared" ca="1" si="21"/>
        <v>0.19211918863510677</v>
      </c>
      <c r="AQ70" s="241">
        <f ca="1">$A70+AP70*Design!$B$19</f>
        <v>95.950793752201093</v>
      </c>
      <c r="AR70" s="241">
        <f ca="1">AO70*Design!$C$12+$A70</f>
        <v>93.449903466030179</v>
      </c>
      <c r="AS70" s="241">
        <f ca="1">Constants!$D$19+Constants!$D$19*Constants!$C$20/100*(AR70-25)</f>
        <v>116.48442995679005</v>
      </c>
      <c r="AT70" s="240">
        <f ca="1">(1-Constants!$D$17/1000000000*Design!$B$32*1000000) * ($B70+AH70-AG70*AS70/1000) - (AH70+AG70*(1+($A70-25)*Constants!$C$31/100)*IF(ISBLANK(Design!$B$40),Constants!$C$6/1000,Design!$B$40/1000))</f>
        <v>5.326665551494397</v>
      </c>
      <c r="AU70" s="162">
        <f ca="1">IF(AT70&gt;Design!$C$28,Design!$C$28,AT70)</f>
        <v>3.3239005736137672</v>
      </c>
    </row>
    <row r="71" spans="1:47" ht="12.75" customHeight="1">
      <c r="A71" s="155">
        <f>Design!$D$13</f>
        <v>85</v>
      </c>
      <c r="B71" s="156">
        <f t="shared" si="12"/>
        <v>7.080000000000001</v>
      </c>
      <c r="C71" s="157">
        <f>Design!$D$6</f>
        <v>3.5</v>
      </c>
      <c r="D71" s="157">
        <f ca="1">FORECAST(C71, OFFSET(Design!$C$15:$C$17,MATCH(C71,Design!$B$15:$B$17,1)-1,0,2), OFFSET(Design!$B$15:$B$17,MATCH(C71,Design!$B$15:$B$17,1)-1,0,2))+(M71-25)*Design!$B$18/1000</f>
        <v>0.40108626709824396</v>
      </c>
      <c r="E71" s="216">
        <f ca="1">IF(100*(Design!$C$28+D71+C71*IF(ISBLANK(Design!$B$40),Constants!$C$6,Design!$B$40)/1000*(1+Constants!$C$31/100*(N71-25)))/($B71+D71-C71*O71/1000)&gt;Design!$C$35,Design!$C$35,100*(Design!$C$28+D71+C71*IF(ISBLANK(Design!$B$40),Constants!$C$6,Design!$B$40)/1000*(1+Constants!$C$31/100*(N71-25)))/($B71+D71-C71*O71/1000))</f>
        <v>54.492339448149316</v>
      </c>
      <c r="F71" s="158">
        <f ca="1">IF(($B71-C71*IF(ISBLANK(Design!$B$40),Constants!$C$6,Design!$B$40)/1000*(1+Constants!$C$31/100*(N71-25))-Design!$C$28)/(IF(ISBLANK(Design!$B$39),Design!$B$38,Design!$B$39)/1000000)*E71/100/(IF(ISBLANK(Design!$B$32),Design!$B$31,Design!$B$32)*1000000)&lt;0,0,($B71-C71*IF(ISBLANK(Design!$B$40),Constants!$C$6,Design!$B$40)/1000*(1+Constants!$C$31/100*(N71-25))-Design!$C$28)/(IF(ISBLANK(Design!$B$39),Design!$B$38,Design!$B$39)/1000000)*E71/100/(IF(ISBLANK(Design!$B$32),Design!$B$31,Design!$B$32)*1000000))</f>
        <v>0.45308185917194127</v>
      </c>
      <c r="G71" s="208">
        <f>B71*Constants!$C$18/1000+IF(ISBLANK(Design!$B$32),Design!$B$31,Design!$B$32)*1000000*Constants!$D$22/1000000000*(B71-Constants!$C$21)</f>
        <v>4.2040000000000008E-2</v>
      </c>
      <c r="H71" s="208">
        <f>B71*C71*(B71/(Constants!$C$23*1000000000)*IF(ISBLANK(Design!$B$32),Design!$B$31,Design!$B$32)*1000000/2+B71/(Constants!$C$24*1000000000)*IF(ISBLANK(Design!$B$32),Design!$B$31,Design!$B$32)*1000000/2)</f>
        <v>0.21215778947368427</v>
      </c>
      <c r="I71" s="208">
        <f t="shared" ca="1" si="13"/>
        <v>0.89008541521604023</v>
      </c>
      <c r="J71" s="208">
        <f>Constants!$D$22/1000000000*Constants!$C$21*IF(ISBLANK(Design!$B$32),Design!$B$31,Design!$B$32)*1000000</f>
        <v>4.9999999999999996E-2</v>
      </c>
      <c r="K71" s="208">
        <f t="shared" ca="1" si="22"/>
        <v>1.1942832046897245</v>
      </c>
      <c r="L71" s="208">
        <f t="shared" ca="1" si="17"/>
        <v>0.63883741932905314</v>
      </c>
      <c r="M71" s="209">
        <f ca="1">$A71+L71*Design!$B$19</f>
        <v>121.41373290175602</v>
      </c>
      <c r="N71" s="209">
        <f ca="1">K71*Design!$C$12+A71</f>
        <v>125.60562895945063</v>
      </c>
      <c r="O71" s="209">
        <f ca="1">Constants!$D$19+Constants!$D$19*Constants!$C$20/100*(N71-25)</f>
        <v>133.15395805257921</v>
      </c>
      <c r="P71" s="208">
        <f ca="1">(1-Constants!$D$17/1000000000*Design!$B$32*1000000) * ($B71+D71-C71*O71/1000) - (D71+C71*(1+($A71-25)*Constants!$C$31/100)*IF(ISBLANK(Design!$B$40),Constants!$C$6/1000,Design!$B$40/1000))</f>
        <v>4.8438437674765611</v>
      </c>
      <c r="Q71" s="158">
        <f ca="1">IF(P71&gt;Design!$C$28,Design!$C$28,P71)</f>
        <v>3.3239005736137672</v>
      </c>
      <c r="R71" s="159">
        <f>2*Design!$D$6/3</f>
        <v>2.3333333333333335</v>
      </c>
      <c r="S71" s="159">
        <f ca="1">FORECAST(R71, OFFSET(Design!$C$15:$C$17,MATCH(R71,Design!$B$15:$B$17,1)-1,0,2), OFFSET(Design!$B$15:$B$17,MATCH(R71,Design!$B$15:$B$17,1)-1,0,2))+(AB71-25)*Design!$B$18/1000</f>
        <v>0.38407372497444592</v>
      </c>
      <c r="T71" s="225">
        <f ca="1">IF(100*(Design!$C$28+S71+R71*IF(ISBLANK(Design!$B$40),Constants!$C$6,Design!$B$40)/1000*(1+Constants!$C$31/100*(AC71-25)))/($B71+S71-R71*AD71/1000)&gt;Design!$C$35,Design!$C$35,100*(Design!$C$28+S71+R71*IF(ISBLANK(Design!$B$40),Constants!$C$6,Design!$B$40)/1000*(1+Constants!$C$31/100*(AC71-25)))/($B71+S71-R71*AD71/1000))</f>
        <v>52.508318453778365</v>
      </c>
      <c r="U71" s="160">
        <f ca="1">IF(($B71-R71*IF(ISBLANK(Design!$B$40),Constants!$C$6,Design!$B$40)/1000*(1+Constants!$C$31/100*(AC71-25))-Design!$C$28)/(IF(ISBLANK(Design!$B$39),Design!$B$38,Design!$B$39)/1000000)*T71/100/(IF(ISBLANK(Design!$B$32),Design!$B$31,Design!$B$32)*1000000)&lt;0,0,($B71-R71*IF(ISBLANK(Design!$B$40),Constants!$C$6,Design!$B$40)/1000*(1+Constants!$C$31/100*(AC71-25))-Design!$C$28)/(IF(ISBLANK(Design!$B$39),Design!$B$38,Design!$B$39)/1000000)*T71/100/(IF(ISBLANK(Design!$B$32),Design!$B$31,Design!$B$32)*1000000))</f>
        <v>0.44092480418573182</v>
      </c>
      <c r="V71" s="226">
        <f>$B71*Constants!$C$18/1000+IF(ISBLANK(Design!$B$32),Design!$B$31,Design!$B$32)*1000000*Constants!$D$22/1000000000*($B71-Constants!$C$21)</f>
        <v>4.2040000000000008E-2</v>
      </c>
      <c r="W71" s="226">
        <f>$B71*R71*($B71/(Constants!$C$23*1000000000)*IF(ISBLANK(Design!$B$32),Design!$B$31,Design!$B$32)*1000000/2+$B71/(Constants!$C$24*1000000000)*IF(ISBLANK(Design!$B$32),Design!$B$31,Design!$B$32)*1000000/2)</f>
        <v>0.14143852631578951</v>
      </c>
      <c r="X71" s="226">
        <f t="shared" ca="1" si="14"/>
        <v>0.35097185378331819</v>
      </c>
      <c r="Y71" s="226">
        <f>Constants!$D$22/1000000000*Constants!$C$21*IF(ISBLANK(Design!$B$32),Design!$B$31,Design!$B$32)*1000000</f>
        <v>4.9999999999999996E-2</v>
      </c>
      <c r="Z71" s="226">
        <f t="shared" ca="1" si="23"/>
        <v>0.58445038009910777</v>
      </c>
      <c r="AA71" s="226">
        <f t="shared" ca="1" si="19"/>
        <v>0.42560716419100825</v>
      </c>
      <c r="AB71" s="227">
        <f ca="1">$A71+AA71*Design!$B$19</f>
        <v>109.25960835888748</v>
      </c>
      <c r="AC71" s="227">
        <f ca="1">Z71*Design!$C$12+$A71</f>
        <v>104.87131292336966</v>
      </c>
      <c r="AD71" s="227">
        <f ca="1">Constants!$D$19+Constants!$D$19*Constants!$C$20/100*(AC71-25)</f>
        <v>122.40528861947485</v>
      </c>
      <c r="AE71" s="226">
        <f ca="1">(1-Constants!$D$17/1000000000*Design!$B$32*1000000) * ($B71+S71-R71*AD71/1000) - (S71+R71*(1+($A71-25)*Constants!$C$31/100)*IF(ISBLANK(Design!$B$40),Constants!$C$6/1000,Design!$B$40/1000))</f>
        <v>5.0138862608542656</v>
      </c>
      <c r="AF71" s="160">
        <f ca="1">IF(AE71&gt;Design!$C$28,Design!$C$28,AE71)</f>
        <v>3.3239005736137672</v>
      </c>
      <c r="AG71" s="161">
        <f>Design!$D$6/3</f>
        <v>1.1666666666666667</v>
      </c>
      <c r="AH71" s="161">
        <f ca="1">FORECAST(AG71, OFFSET(Design!$C$15:$C$17,MATCH(AG71,Design!$B$15:$B$17,1)-1,0,2), OFFSET(Design!$B$15:$B$17,MATCH(AG71,Design!$B$15:$B$17,1)-1,0,2))+(AQ71-25)*Design!$B$18/1000</f>
        <v>0.32452437432079662</v>
      </c>
      <c r="AI71" s="239">
        <f ca="1">IF(100*(Design!$C$28+AH71+AG71*IF(ISBLANK(Design!$B$40),Constants!$C$6,Design!$B$40)/1000*(1+Constants!$C$31/100*(AR71-25)))/($B71+AH71-AG71*AS71/1000)&gt;Design!$C$35,Design!$C$35,100*(Design!$C$28+AH71+AG71*IF(ISBLANK(Design!$B$40),Constants!$C$6,Design!$B$40)/1000*(1+Constants!$C$31/100*(AR71-25)))/($B71+AH71-AG71*AS71/1000))</f>
        <v>50.600645740501513</v>
      </c>
      <c r="AJ71" s="162">
        <f ca="1">IF(($B71-AG71*IF(ISBLANK(Design!$B$40),Constants!$C$6,Design!$B$40)/1000*(1+Constants!$C$31/100*(AR71-25))-Design!$C$28)/(IF(ISBLANK(Design!$B$39),Design!$B$38,Design!$B$39)/1000000)*AI71/100/(IF(ISBLANK(Design!$B$32),Design!$B$31,Design!$B$32)*1000000)&lt;0,0,($B71-AG71*IF(ISBLANK(Design!$B$40),Constants!$C$6,Design!$B$40)/1000*(1+Constants!$C$31/100*(AR71-25))-Design!$C$28)/(IF(ISBLANK(Design!$B$39),Design!$B$38,Design!$B$39)/1000000)*AI71/100/(IF(ISBLANK(Design!$B$32),Design!$B$31,Design!$B$32)*1000000))</f>
        <v>0.42855341512128092</v>
      </c>
      <c r="AK71" s="240">
        <f>$B71*Constants!$C$18/1000+IF(ISBLANK(Design!$B$32),Design!$B$31,Design!$B$32)*1000000*Constants!$D$22/1000000000*($B71-Constants!$C$21)</f>
        <v>4.2040000000000008E-2</v>
      </c>
      <c r="AL71" s="240">
        <f>$B71*AG71*($B71/(Constants!$C$23*1000000000)*IF(ISBLANK(Design!$B$32),Design!$B$31,Design!$B$32)*1000000/2+$B71/(Constants!$C$24*1000000000)*IF(ISBLANK(Design!$B$32),Design!$B$31,Design!$B$32)*1000000/2)</f>
        <v>7.0719263157894757E-2</v>
      </c>
      <c r="AM71" s="240">
        <f t="shared" ca="1" si="15"/>
        <v>8.1070882586464874E-2</v>
      </c>
      <c r="AN71" s="240">
        <f>Constants!$D$22/1000000000*Constants!$C$21*IF(ISBLANK(Design!$B$32),Design!$B$31,Design!$B$32)*1000000</f>
        <v>4.9999999999999996E-2</v>
      </c>
      <c r="AO71" s="240">
        <f t="shared" ca="1" si="24"/>
        <v>0.24383014574435963</v>
      </c>
      <c r="AP71" s="240">
        <f t="shared" ca="1" si="21"/>
        <v>0.18703176955067646</v>
      </c>
      <c r="AQ71" s="241">
        <f ca="1">$A71+AP71*Design!$B$19</f>
        <v>95.660810864388566</v>
      </c>
      <c r="AR71" s="241">
        <f ca="1">AO71*Design!$C$12+$A71</f>
        <v>93.290224955308233</v>
      </c>
      <c r="AS71" s="241">
        <f ca="1">Constants!$D$19+Constants!$D$19*Constants!$C$20/100*(AR71-25)</f>
        <v>116.4016526168318</v>
      </c>
      <c r="AT71" s="240">
        <f ca="1">(1-Constants!$D$17/1000000000*Design!$B$32*1000000) * ($B71+AH71-AG71*AS71/1000) - (AH71+AG71*(1+($A71-25)*Constants!$C$31/100)*IF(ISBLANK(Design!$B$40),Constants!$C$6/1000,Design!$B$40/1000))</f>
        <v>5.1708693515094186</v>
      </c>
      <c r="AU71" s="162">
        <f ca="1">IF(AT71&gt;Design!$C$28,Design!$C$28,AT71)</f>
        <v>3.3239005736137672</v>
      </c>
    </row>
    <row r="72" spans="1:47" ht="12.75" customHeight="1">
      <c r="A72" s="155">
        <f>Design!$D$13</f>
        <v>85</v>
      </c>
      <c r="B72" s="156">
        <f t="shared" si="12"/>
        <v>6.8750000000000009</v>
      </c>
      <c r="C72" s="157">
        <f>Design!$D$6</f>
        <v>3.5</v>
      </c>
      <c r="D72" s="157">
        <f ca="1">FORECAST(C72, OFFSET(Design!$C$15:$C$17,MATCH(C72,Design!$B$15:$B$17,1)-1,0,2), OFFSET(Design!$B$15:$B$17,MATCH(C72,Design!$B$15:$B$17,1)-1,0,2))+(M72-25)*Design!$B$18/1000</f>
        <v>0.40230563286778376</v>
      </c>
      <c r="E72" s="216">
        <f ca="1">IF(100*(Design!$C$28+D72+C72*IF(ISBLANK(Design!$B$40),Constants!$C$6,Design!$B$40)/1000*(1+Constants!$C$31/100*(N72-25)))/($B72+D72-C72*O72/1000)&gt;Design!$C$35,Design!$C$35,100*(Design!$C$28+D72+C72*IF(ISBLANK(Design!$B$40),Constants!$C$6,Design!$B$40)/1000*(1+Constants!$C$31/100*(N72-25)))/($B72+D72-C72*O72/1000))</f>
        <v>56.149540692949934</v>
      </c>
      <c r="F72" s="158">
        <f ca="1">IF(($B72-C72*IF(ISBLANK(Design!$B$40),Constants!$C$6,Design!$B$40)/1000*(1+Constants!$C$31/100*(N72-25))-Design!$C$28)/(IF(ISBLANK(Design!$B$39),Design!$B$38,Design!$B$39)/1000000)*E72/100/(IF(ISBLANK(Design!$B$32),Design!$B$31,Design!$B$32)*1000000)&lt;0,0,($B72-C72*IF(ISBLANK(Design!$B$40),Constants!$C$6,Design!$B$40)/1000*(1+Constants!$C$31/100*(N72-25))-Design!$C$28)/(IF(ISBLANK(Design!$B$39),Design!$B$38,Design!$B$39)/1000000)*E72/100/(IF(ISBLANK(Design!$B$32),Design!$B$31,Design!$B$32)*1000000))</f>
        <v>0.44068362824407964</v>
      </c>
      <c r="G72" s="208">
        <f>B72*Constants!$C$18/1000+IF(ISBLANK(Design!$B$32),Design!$B$31,Design!$B$32)*1000000*Constants!$D$22/1000000000*(B72-Constants!$C$21)</f>
        <v>3.9375000000000014E-2</v>
      </c>
      <c r="H72" s="208">
        <f>B72*C72*(B72/(Constants!$C$23*1000000000)*IF(ISBLANK(Design!$B$32),Design!$B$31,Design!$B$32)*1000000/2+B72/(Constants!$C$24*1000000000)*IF(ISBLANK(Design!$B$32),Design!$B$31,Design!$B$32)*1000000/2)</f>
        <v>0.20004968475877197</v>
      </c>
      <c r="I72" s="208">
        <f t="shared" ca="1" si="13"/>
        <v>0.91877467655810297</v>
      </c>
      <c r="J72" s="208">
        <f>Constants!$D$22/1000000000*Constants!$C$21*IF(ISBLANK(Design!$B$32),Design!$B$31,Design!$B$32)*1000000</f>
        <v>4.9999999999999996E-2</v>
      </c>
      <c r="K72" s="208">
        <f t="shared" ca="1" si="22"/>
        <v>1.2081993613168749</v>
      </c>
      <c r="L72" s="208">
        <f t="shared" ca="1" si="17"/>
        <v>0.61744503740730228</v>
      </c>
      <c r="M72" s="209">
        <f ca="1">$A72+L72*Design!$B$19</f>
        <v>120.19436713221623</v>
      </c>
      <c r="N72" s="209">
        <f ca="1">K72*Design!$C$12+A72</f>
        <v>126.07877828477375</v>
      </c>
      <c r="O72" s="209">
        <f ca="1">Constants!$D$19+Constants!$D$19*Constants!$C$20/100*(N72-25)</f>
        <v>133.39923866282672</v>
      </c>
      <c r="P72" s="208">
        <f ca="1">(1-Constants!$D$17/1000000000*Design!$B$32*1000000) * ($B72+D72-C72*O72/1000) - (D72+C72*(1+($A72-25)*Constants!$C$31/100)*IF(ISBLANK(Design!$B$40),Constants!$C$6/1000,Design!$B$40/1000))</f>
        <v>4.6870986732686131</v>
      </c>
      <c r="Q72" s="158">
        <f ca="1">IF(P72&gt;Design!$C$28,Design!$C$28,P72)</f>
        <v>3.3239005736137672</v>
      </c>
      <c r="R72" s="159">
        <f>2*Design!$D$6/3</f>
        <v>2.3333333333333335</v>
      </c>
      <c r="S72" s="159">
        <f ca="1">FORECAST(R72, OFFSET(Design!$C$15:$C$17,MATCH(R72,Design!$B$15:$B$17,1)-1,0,2), OFFSET(Design!$B$15:$B$17,MATCH(R72,Design!$B$15:$B$17,1)-1,0,2))+(AB72-25)*Design!$B$18/1000</f>
        <v>0.38481908672999549</v>
      </c>
      <c r="T72" s="225">
        <f ca="1">IF(100*(Design!$C$28+S72+R72*IF(ISBLANK(Design!$B$40),Constants!$C$6,Design!$B$40)/1000*(1+Constants!$C$31/100*(AC72-25)))/($B72+S72-R72*AD72/1000)&gt;Design!$C$35,Design!$C$35,100*(Design!$C$28+S72+R72*IF(ISBLANK(Design!$B$40),Constants!$C$6,Design!$B$40)/1000*(1+Constants!$C$31/100*(AC72-25)))/($B72+S72-R72*AD72/1000))</f>
        <v>54.056632651984984</v>
      </c>
      <c r="U72" s="160">
        <f ca="1">IF(($B72-R72*IF(ISBLANK(Design!$B$40),Constants!$C$6,Design!$B$40)/1000*(1+Constants!$C$31/100*(AC72-25))-Design!$C$28)/(IF(ISBLANK(Design!$B$39),Design!$B$38,Design!$B$39)/1000000)*T72/100/(IF(ISBLANK(Design!$B$32),Design!$B$31,Design!$B$32)*1000000)&lt;0,0,($B72-R72*IF(ISBLANK(Design!$B$40),Constants!$C$6,Design!$B$40)/1000*(1+Constants!$C$31/100*(AC72-25))-Design!$C$28)/(IF(ISBLANK(Design!$B$39),Design!$B$38,Design!$B$39)/1000000)*T72/100/(IF(ISBLANK(Design!$B$32),Design!$B$31,Design!$B$32)*1000000))</f>
        <v>0.42874124989305229</v>
      </c>
      <c r="V72" s="226">
        <f>$B72*Constants!$C$18/1000+IF(ISBLANK(Design!$B$32),Design!$B$31,Design!$B$32)*1000000*Constants!$D$22/1000000000*($B72-Constants!$C$21)</f>
        <v>3.9375000000000014E-2</v>
      </c>
      <c r="W72" s="226">
        <f>$B72*R72*($B72/(Constants!$C$23*1000000000)*IF(ISBLANK(Design!$B$32),Design!$B$31,Design!$B$32)*1000000/2+$B72/(Constants!$C$24*1000000000)*IF(ISBLANK(Design!$B$32),Design!$B$31,Design!$B$32)*1000000/2)</f>
        <v>0.133366456505848</v>
      </c>
      <c r="X72" s="226">
        <f t="shared" ca="1" si="14"/>
        <v>0.36123805127846365</v>
      </c>
      <c r="Y72" s="226">
        <f>Constants!$D$22/1000000000*Constants!$C$21*IF(ISBLANK(Design!$B$32),Design!$B$31,Design!$B$32)*1000000</f>
        <v>4.9999999999999996E-2</v>
      </c>
      <c r="Z72" s="226">
        <f t="shared" ca="1" si="23"/>
        <v>0.58397950778431174</v>
      </c>
      <c r="AA72" s="226">
        <f t="shared" ca="1" si="19"/>
        <v>0.41253064216382285</v>
      </c>
      <c r="AB72" s="227">
        <f ca="1">$A72+AA72*Design!$B$19</f>
        <v>108.51424660333791</v>
      </c>
      <c r="AC72" s="227">
        <f ca="1">Z72*Design!$C$12+$A72</f>
        <v>104.8553032646666</v>
      </c>
      <c r="AD72" s="227">
        <f ca="1">Constants!$D$19+Constants!$D$19*Constants!$C$20/100*(AC72-25)</f>
        <v>122.39698921240317</v>
      </c>
      <c r="AE72" s="226">
        <f ca="1">(1-Constants!$D$17/1000000000*Design!$B$32*1000000) * ($B72+S72-R72*AD72/1000) - (S72+R72*(1+($A72-25)*Constants!$C$31/100)*IF(ISBLANK(Design!$B$40),Constants!$C$6/1000,Design!$B$40/1000))</f>
        <v>4.85792209164814</v>
      </c>
      <c r="AF72" s="160">
        <f ca="1">IF(AE72&gt;Design!$C$28,Design!$C$28,AE72)</f>
        <v>3.3239005736137672</v>
      </c>
      <c r="AG72" s="161">
        <f>Design!$D$6/3</f>
        <v>1.1666666666666667</v>
      </c>
      <c r="AH72" s="161">
        <f ca="1">FORECAST(AG72, OFFSET(Design!$C$15:$C$17,MATCH(AG72,Design!$B$15:$B$17,1)-1,0,2), OFFSET(Design!$B$15:$B$17,MATCH(AG72,Design!$B$15:$B$17,1)-1,0,2))+(AQ72-25)*Design!$B$18/1000</f>
        <v>0.32483175590821955</v>
      </c>
      <c r="AI72" s="239">
        <f ca="1">IF(100*(Design!$C$28+AH72+AG72*IF(ISBLANK(Design!$B$40),Constants!$C$6,Design!$B$40)/1000*(1+Constants!$C$31/100*(AR72-25)))/($B72+AH72-AG72*AS72/1000)&gt;Design!$C$35,Design!$C$35,100*(Design!$C$28+AH72+AG72*IF(ISBLANK(Design!$B$40),Constants!$C$6,Design!$B$40)/1000*(1+Constants!$C$31/100*(AR72-25)))/($B72+AH72-AG72*AS72/1000))</f>
        <v>52.070367817418038</v>
      </c>
      <c r="AJ72" s="162">
        <f ca="1">IF(($B72-AG72*IF(ISBLANK(Design!$B$40),Constants!$C$6,Design!$B$40)/1000*(1+Constants!$C$31/100*(AR72-25))-Design!$C$28)/(IF(ISBLANK(Design!$B$39),Design!$B$38,Design!$B$39)/1000000)*AI72/100/(IF(ISBLANK(Design!$B$32),Design!$B$31,Design!$B$32)*1000000)&lt;0,0,($B72-AG72*IF(ISBLANK(Design!$B$40),Constants!$C$6,Design!$B$40)/1000*(1+Constants!$C$31/100*(AR72-25))-Design!$C$28)/(IF(ISBLANK(Design!$B$39),Design!$B$38,Design!$B$39)/1000000)*AI72/100/(IF(ISBLANK(Design!$B$32),Design!$B$31,Design!$B$32)*1000000))</f>
        <v>0.41674255723496811</v>
      </c>
      <c r="AK72" s="240">
        <f>$B72*Constants!$C$18/1000+IF(ISBLANK(Design!$B$32),Design!$B$31,Design!$B$32)*1000000*Constants!$D$22/1000000000*($B72-Constants!$C$21)</f>
        <v>3.9375000000000014E-2</v>
      </c>
      <c r="AL72" s="240">
        <f>$B72*AG72*($B72/(Constants!$C$23*1000000000)*IF(ISBLANK(Design!$B$32),Design!$B$31,Design!$B$32)*1000000/2+$B72/(Constants!$C$24*1000000000)*IF(ISBLANK(Design!$B$32),Design!$B$31,Design!$B$32)*1000000/2)</f>
        <v>6.6683228252923998E-2</v>
      </c>
      <c r="AM72" s="240">
        <f t="shared" ca="1" si="15"/>
        <v>8.3318985033193738E-2</v>
      </c>
      <c r="AN72" s="240">
        <f>Constants!$D$22/1000000000*Constants!$C$21*IF(ISBLANK(Design!$B$32),Design!$B$31,Design!$B$32)*1000000</f>
        <v>4.9999999999999996E-2</v>
      </c>
      <c r="AO72" s="240">
        <f t="shared" ca="1" si="24"/>
        <v>0.23937721328611775</v>
      </c>
      <c r="AP72" s="240">
        <f t="shared" ca="1" si="21"/>
        <v>0.1816391101222041</v>
      </c>
      <c r="AQ72" s="241">
        <f ca="1">$A72+AP72*Design!$B$19</f>
        <v>95.353429276965628</v>
      </c>
      <c r="AR72" s="241">
        <f ca="1">AO72*Design!$C$12+$A72</f>
        <v>93.138825251728008</v>
      </c>
      <c r="AS72" s="241">
        <f ca="1">Constants!$D$19+Constants!$D$19*Constants!$C$20/100*(AR72-25)</f>
        <v>116.32316701049581</v>
      </c>
      <c r="AT72" s="240">
        <f ca="1">(1-Constants!$D$17/1000000000*Design!$B$32*1000000) * ($B72+AH72-AG72*AS72/1000) - (AH72+AG72*(1+($A72-25)*Constants!$C$31/100)*IF(ISBLANK(Design!$B$40),Constants!$C$6/1000,Design!$B$40/1000))</f>
        <v>5.0150651704993878</v>
      </c>
      <c r="AU72" s="162">
        <f ca="1">IF(AT72&gt;Design!$C$28,Design!$C$28,AT72)</f>
        <v>3.3239005736137672</v>
      </c>
    </row>
    <row r="73" spans="1:47" ht="12.75" customHeight="1">
      <c r="A73" s="155">
        <f>Design!$D$13</f>
        <v>85</v>
      </c>
      <c r="B73" s="156">
        <f t="shared" si="12"/>
        <v>6.6700000000000008</v>
      </c>
      <c r="C73" s="157">
        <f>Design!$D$6</f>
        <v>3.5</v>
      </c>
      <c r="D73" s="157">
        <f ca="1">FORECAST(C73, OFFSET(Design!$C$15:$C$17,MATCH(C73,Design!$B$15:$B$17,1)-1,0,2), OFFSET(Design!$B$15:$B$17,MATCH(C73,Design!$B$15:$B$17,1)-1,0,2))+(M73-25)*Design!$B$18/1000</f>
        <v>0.40361035197718054</v>
      </c>
      <c r="E73" s="216">
        <f ca="1">IF(100*(Design!$C$28+D73+C73*IF(ISBLANK(Design!$B$40),Constants!$C$6,Design!$B$40)/1000*(1+Constants!$C$31/100*(N73-25)))/($B73+D73-C73*O73/1000)&gt;Design!$C$35,Design!$C$35,100*(Design!$C$28+D73+C73*IF(ISBLANK(Design!$B$40),Constants!$C$6,Design!$B$40)/1000*(1+Constants!$C$31/100*(N73-25)))/($B73+D73-C73*O73/1000))</f>
        <v>57.911653755166306</v>
      </c>
      <c r="F73" s="158">
        <f ca="1">IF(($B73-C73*IF(ISBLANK(Design!$B$40),Constants!$C$6,Design!$B$40)/1000*(1+Constants!$C$31/100*(N73-25))-Design!$C$28)/(IF(ISBLANK(Design!$B$39),Design!$B$38,Design!$B$39)/1000000)*E73/100/(IF(ISBLANK(Design!$B$32),Design!$B$31,Design!$B$32)*1000000)&lt;0,0,($B73-C73*IF(ISBLANK(Design!$B$40),Constants!$C$6,Design!$B$40)/1000*(1+Constants!$C$31/100*(N73-25))-Design!$C$28)/(IF(ISBLANK(Design!$B$39),Design!$B$38,Design!$B$39)/1000000)*E73/100/(IF(ISBLANK(Design!$B$32),Design!$B$31,Design!$B$32)*1000000))</f>
        <v>0.42751163361957584</v>
      </c>
      <c r="G73" s="208">
        <f>B73*Constants!$C$18/1000+IF(ISBLANK(Design!$B$32),Design!$B$31,Design!$B$32)*1000000*Constants!$D$22/1000000000*(B73-Constants!$C$21)</f>
        <v>3.6710000000000007E-2</v>
      </c>
      <c r="H73" s="208">
        <f>B73*C73*(B73/(Constants!$C$23*1000000000)*IF(ISBLANK(Design!$B$32),Design!$B$31,Design!$B$32)*1000000/2+B73/(Constants!$C$24*1000000000)*IF(ISBLANK(Design!$B$32),Design!$B$31,Design!$B$32)*1000000/2)</f>
        <v>0.18829731798245619</v>
      </c>
      <c r="I73" s="208">
        <f t="shared" ca="1" si="13"/>
        <v>0.94958707158310629</v>
      </c>
      <c r="J73" s="208">
        <f>Constants!$D$22/1000000000*Constants!$C$21*IF(ISBLANK(Design!$B$32),Design!$B$31,Design!$B$32)*1000000</f>
        <v>4.9999999999999996E-2</v>
      </c>
      <c r="K73" s="208">
        <f t="shared" ca="1" si="22"/>
        <v>1.2245943895655624</v>
      </c>
      <c r="L73" s="208">
        <f t="shared" ca="1" si="17"/>
        <v>0.59455522847051712</v>
      </c>
      <c r="M73" s="209">
        <f ca="1">$A73+L73*Design!$B$19</f>
        <v>118.88964802281947</v>
      </c>
      <c r="N73" s="209">
        <f ca="1">K73*Design!$C$12+A73</f>
        <v>126.63620924522913</v>
      </c>
      <c r="O73" s="209">
        <f ca="1">Constants!$D$19+Constants!$D$19*Constants!$C$20/100*(N73-25)</f>
        <v>133.68821087272678</v>
      </c>
      <c r="P73" s="208">
        <f ca="1">(1-Constants!$D$17/1000000000*Design!$B$32*1000000) * ($B73+D73-C73*O73/1000) - (D73+C73*(1+($A73-25)*Constants!$C$31/100)*IF(ISBLANK(Design!$B$40),Constants!$C$6/1000,Design!$B$40/1000))</f>
        <v>4.5302168746040241</v>
      </c>
      <c r="Q73" s="158">
        <f ca="1">IF(P73&gt;Design!$C$28,Design!$C$28,P73)</f>
        <v>3.3239005736137672</v>
      </c>
      <c r="R73" s="159">
        <f>2*Design!$D$6/3</f>
        <v>2.3333333333333335</v>
      </c>
      <c r="S73" s="159">
        <f ca="1">FORECAST(R73, OFFSET(Design!$C$15:$C$17,MATCH(R73,Design!$B$15:$B$17,1)-1,0,2), OFFSET(Design!$B$15:$B$17,MATCH(R73,Design!$B$15:$B$17,1)-1,0,2))+(AB73-25)*Design!$B$18/1000</f>
        <v>0.38561292983648948</v>
      </c>
      <c r="T73" s="225">
        <f ca="1">IF(100*(Design!$C$28+S73+R73*IF(ISBLANK(Design!$B$40),Constants!$C$6,Design!$B$40)/1000*(1+Constants!$C$31/100*(AC73-25)))/($B73+S73-R73*AD73/1000)&gt;Design!$C$35,Design!$C$35,100*(Design!$C$28+S73+R73*IF(ISBLANK(Design!$B$40),Constants!$C$6,Design!$B$40)/1000*(1+Constants!$C$31/100*(AC73-25)))/($B73+S73-R73*AD73/1000))</f>
        <v>55.699073277323485</v>
      </c>
      <c r="U73" s="160">
        <f ca="1">IF(($B73-R73*IF(ISBLANK(Design!$B$40),Constants!$C$6,Design!$B$40)/1000*(1+Constants!$C$31/100*(AC73-25))-Design!$C$28)/(IF(ISBLANK(Design!$B$39),Design!$B$38,Design!$B$39)/1000000)*T73/100/(IF(ISBLANK(Design!$B$32),Design!$B$31,Design!$B$32)*1000000)&lt;0,0,($B73-R73*IF(ISBLANK(Design!$B$40),Constants!$C$6,Design!$B$40)/1000*(1+Constants!$C$31/100*(AC73-25))-Design!$C$28)/(IF(ISBLANK(Design!$B$39),Design!$B$38,Design!$B$39)/1000000)*T73/100/(IF(ISBLANK(Design!$B$32),Design!$B$31,Design!$B$32)*1000000))</f>
        <v>0.4158169465769746</v>
      </c>
      <c r="V73" s="226">
        <f>$B73*Constants!$C$18/1000+IF(ISBLANK(Design!$B$32),Design!$B$31,Design!$B$32)*1000000*Constants!$D$22/1000000000*($B73-Constants!$C$21)</f>
        <v>3.6710000000000007E-2</v>
      </c>
      <c r="W73" s="226">
        <f>$B73*R73*($B73/(Constants!$C$23*1000000000)*IF(ISBLANK(Design!$B$32),Design!$B$31,Design!$B$32)*1000000/2+$B73/(Constants!$C$24*1000000000)*IF(ISBLANK(Design!$B$32),Design!$B$31,Design!$B$32)*1000000/2)</f>
        <v>0.12553154532163749</v>
      </c>
      <c r="X73" s="226">
        <f t="shared" ca="1" si="14"/>
        <v>0.37217522211224352</v>
      </c>
      <c r="Y73" s="226">
        <f>Constants!$D$22/1000000000*Constants!$C$21*IF(ISBLANK(Design!$B$32),Design!$B$31,Design!$B$32)*1000000</f>
        <v>4.9999999999999996E-2</v>
      </c>
      <c r="Z73" s="226">
        <f t="shared" ca="1" si="23"/>
        <v>0.58441676743388105</v>
      </c>
      <c r="AA73" s="226">
        <f t="shared" ca="1" si="19"/>
        <v>0.3986035701200682</v>
      </c>
      <c r="AB73" s="227">
        <f ca="1">$A73+AA73*Design!$B$19</f>
        <v>107.72040349684389</v>
      </c>
      <c r="AC73" s="227">
        <f ca="1">Z73*Design!$C$12+$A73</f>
        <v>104.87017009275195</v>
      </c>
      <c r="AD73" s="227">
        <f ca="1">Constants!$D$19+Constants!$D$19*Constants!$C$20/100*(AC73-25)</f>
        <v>122.40469617608261</v>
      </c>
      <c r="AE73" s="226">
        <f ca="1">(1-Constants!$D$17/1000000000*Design!$B$32*1000000) * ($B73+S73-R73*AD73/1000) - (S73+R73*(1+($A73-25)*Constants!$C$31/100)*IF(ISBLANK(Design!$B$40),Constants!$C$6/1000,Design!$B$40/1000))</f>
        <v>4.7019179022869899</v>
      </c>
      <c r="AF73" s="160">
        <f ca="1">IF(AE73&gt;Design!$C$28,Design!$C$28,AE73)</f>
        <v>3.3239005736137672</v>
      </c>
      <c r="AG73" s="161">
        <f>Design!$D$6/3</f>
        <v>1.1666666666666667</v>
      </c>
      <c r="AH73" s="161">
        <f ca="1">FORECAST(AG73, OFFSET(Design!$C$15:$C$17,MATCH(AG73,Design!$B$15:$B$17,1)-1,0,2), OFFSET(Design!$B$15:$B$17,MATCH(AG73,Design!$B$15:$B$17,1)-1,0,2))+(AQ73-25)*Design!$B$18/1000</f>
        <v>0.32515814827658096</v>
      </c>
      <c r="AI73" s="239">
        <f ca="1">IF(100*(Design!$C$28+AH73+AG73*IF(ISBLANK(Design!$B$40),Constants!$C$6,Design!$B$40)/1000*(1+Constants!$C$31/100*(AR73-25)))/($B73+AH73-AG73*AS73/1000)&gt;Design!$C$35,Design!$C$35,100*(Design!$C$28+AH73+AG73*IF(ISBLANK(Design!$B$40),Constants!$C$6,Design!$B$40)/1000*(1+Constants!$C$31/100*(AR73-25)))/($B73+AH73-AG73*AS73/1000))</f>
        <v>53.627946676714636</v>
      </c>
      <c r="AJ73" s="162">
        <f ca="1">IF(($B73-AG73*IF(ISBLANK(Design!$B$40),Constants!$C$6,Design!$B$40)/1000*(1+Constants!$C$31/100*(AR73-25))-Design!$C$28)/(IF(ISBLANK(Design!$B$39),Design!$B$38,Design!$B$39)/1000000)*AI73/100/(IF(ISBLANK(Design!$B$32),Design!$B$31,Design!$B$32)*1000000)&lt;0,0,($B73-AG73*IF(ISBLANK(Design!$B$40),Constants!$C$6,Design!$B$40)/1000*(1+Constants!$C$31/100*(AR73-25))-Design!$C$28)/(IF(ISBLANK(Design!$B$39),Design!$B$38,Design!$B$39)/1000000)*AI73/100/(IF(ISBLANK(Design!$B$32),Design!$B$31,Design!$B$32)*1000000))</f>
        <v>0.40422440832812795</v>
      </c>
      <c r="AK73" s="240">
        <f>$B73*Constants!$C$18/1000+IF(ISBLANK(Design!$B$32),Design!$B$31,Design!$B$32)*1000000*Constants!$D$22/1000000000*($B73-Constants!$C$21)</f>
        <v>3.6710000000000007E-2</v>
      </c>
      <c r="AL73" s="240">
        <f>$B73*AG73*($B73/(Constants!$C$23*1000000000)*IF(ISBLANK(Design!$B$32),Design!$B$31,Design!$B$32)*1000000/2+$B73/(Constants!$C$24*1000000000)*IF(ISBLANK(Design!$B$32),Design!$B$31,Design!$B$32)*1000000/2)</f>
        <v>6.2765772660818744E-2</v>
      </c>
      <c r="AM73" s="240">
        <f t="shared" ca="1" si="15"/>
        <v>8.5703326458499027E-2</v>
      </c>
      <c r="AN73" s="240">
        <f>Constants!$D$22/1000000000*Constants!$C$21*IF(ISBLANK(Design!$B$32),Design!$B$31,Design!$B$32)*1000000</f>
        <v>4.9999999999999996E-2</v>
      </c>
      <c r="AO73" s="240">
        <f t="shared" ca="1" si="24"/>
        <v>0.23517909911931778</v>
      </c>
      <c r="AP73" s="240">
        <f t="shared" ca="1" si="21"/>
        <v>0.17591292822112733</v>
      </c>
      <c r="AQ73" s="241">
        <f ca="1">$A73+AP73*Design!$B$19</f>
        <v>95.027036908604259</v>
      </c>
      <c r="AR73" s="241">
        <f ca="1">AO73*Design!$C$12+$A73</f>
        <v>92.996089370056808</v>
      </c>
      <c r="AS73" s="241">
        <f ca="1">Constants!$D$19+Constants!$D$19*Constants!$C$20/100*(AR73-25)</f>
        <v>116.24917272943745</v>
      </c>
      <c r="AT73" s="240">
        <f ca="1">(1-Constants!$D$17/1000000000*Design!$B$32*1000000) * ($B73+AH73-AG73*AS73/1000) - (AH73+AG73*(1+($A73-25)*Constants!$C$31/100)*IF(ISBLANK(Design!$B$40),Constants!$C$6/1000,Design!$B$40/1000))</f>
        <v>4.8592524445935199</v>
      </c>
      <c r="AU73" s="162">
        <f ca="1">IF(AT73&gt;Design!$C$28,Design!$C$28,AT73)</f>
        <v>3.3239005736137672</v>
      </c>
    </row>
    <row r="74" spans="1:47" ht="12.75" customHeight="1">
      <c r="A74" s="155">
        <f>Design!$D$13</f>
        <v>85</v>
      </c>
      <c r="B74" s="156">
        <f t="shared" si="12"/>
        <v>6.4650000000000007</v>
      </c>
      <c r="C74" s="157">
        <f>Design!$D$6</f>
        <v>3.5</v>
      </c>
      <c r="D74" s="157">
        <f ca="1">FORECAST(C74, OFFSET(Design!$C$15:$C$17,MATCH(C74,Design!$B$15:$B$17,1)-1,0,2), OFFSET(Design!$B$15:$B$17,MATCH(C74,Design!$B$15:$B$17,1)-1,0,2))+(M74-25)*Design!$B$18/1000</f>
        <v>0.40500976007649236</v>
      </c>
      <c r="E74" s="216">
        <f ca="1">IF(100*(Design!$C$28+D74+C74*IF(ISBLANK(Design!$B$40),Constants!$C$6,Design!$B$40)/1000*(1+Constants!$C$31/100*(N74-25)))/($B74+D74-C74*O74/1000)&gt;Design!$C$35,Design!$C$35,100*(Design!$C$28+D74+C74*IF(ISBLANK(Design!$B$40),Constants!$C$6,Design!$B$40)/1000*(1+Constants!$C$31/100*(N74-25)))/($B74+D74-C74*O74/1000))</f>
        <v>59.789031886420993</v>
      </c>
      <c r="F74" s="158">
        <f ca="1">IF(($B74-C74*IF(ISBLANK(Design!$B$40),Constants!$C$6,Design!$B$40)/1000*(1+Constants!$C$31/100*(N74-25))-Design!$C$28)/(IF(ISBLANK(Design!$B$39),Design!$B$38,Design!$B$39)/1000000)*E74/100/(IF(ISBLANK(Design!$B$32),Design!$B$31,Design!$B$32)*1000000)&lt;0,0,($B74-C74*IF(ISBLANK(Design!$B$40),Constants!$C$6,Design!$B$40)/1000*(1+Constants!$C$31/100*(N74-25))-Design!$C$28)/(IF(ISBLANK(Design!$B$39),Design!$B$38,Design!$B$39)/1000000)*E74/100/(IF(ISBLANK(Design!$B$32),Design!$B$31,Design!$B$32)*1000000))</f>
        <v>0.41349014525375516</v>
      </c>
      <c r="G74" s="208">
        <f>B74*Constants!$C$18/1000+IF(ISBLANK(Design!$B$32),Design!$B$31,Design!$B$32)*1000000*Constants!$D$22/1000000000*(B74-Constants!$C$21)</f>
        <v>3.4045000000000013E-2</v>
      </c>
      <c r="H74" s="208">
        <f>B74*C74*(B74/(Constants!$C$23*1000000000)*IF(ISBLANK(Design!$B$32),Design!$B$31,Design!$B$32)*1000000/2+B74/(Constants!$C$24*1000000000)*IF(ISBLANK(Design!$B$32),Design!$B$31,Design!$B$32)*1000000/2)</f>
        <v>0.17690068914473689</v>
      </c>
      <c r="I74" s="208">
        <f t="shared" ca="1" si="13"/>
        <v>0.98276253403081137</v>
      </c>
      <c r="J74" s="208">
        <f>Constants!$D$22/1000000000*Constants!$C$21*IF(ISBLANK(Design!$B$32),Design!$B$31,Design!$B$32)*1000000</f>
        <v>4.9999999999999996E-2</v>
      </c>
      <c r="K74" s="208">
        <f t="shared" ca="1" si="22"/>
        <v>1.2437082231755483</v>
      </c>
      <c r="L74" s="208">
        <f t="shared" ca="1" si="17"/>
        <v>0.57000420918434413</v>
      </c>
      <c r="M74" s="209">
        <f ca="1">$A74+L74*Design!$B$19</f>
        <v>117.49023992350762</v>
      </c>
      <c r="N74" s="209">
        <f ca="1">K74*Design!$C$12+A74</f>
        <v>127.28607958796864</v>
      </c>
      <c r="O74" s="209">
        <f ca="1">Constants!$D$19+Constants!$D$19*Constants!$C$20/100*(N74-25)</f>
        <v>134.02510365840294</v>
      </c>
      <c r="P74" s="208">
        <f ca="1">(1-Constants!$D$17/1000000000*Design!$B$32*1000000) * ($B74+D74-C74*O74/1000) - (D74+C74*(1+($A74-25)*Constants!$C$31/100)*IF(ISBLANK(Design!$B$40),Constants!$C$6/1000,Design!$B$40/1000))</f>
        <v>4.3731848818502908</v>
      </c>
      <c r="Q74" s="158">
        <f ca="1">IF(P74&gt;Design!$C$28,Design!$C$28,P74)</f>
        <v>3.3239005736137672</v>
      </c>
      <c r="R74" s="159">
        <f>2*Design!$D$6/3</f>
        <v>2.3333333333333335</v>
      </c>
      <c r="S74" s="159">
        <f ca="1">FORECAST(R74, OFFSET(Design!$C$15:$C$17,MATCH(R74,Design!$B$15:$B$17,1)-1,0,2), OFFSET(Design!$B$15:$B$17,MATCH(R74,Design!$B$15:$B$17,1)-1,0,2))+(AB74-25)*Design!$B$18/1000</f>
        <v>0.38646013584787442</v>
      </c>
      <c r="T74" s="225">
        <f ca="1">IF(100*(Design!$C$28+S74+R74*IF(ISBLANK(Design!$B$40),Constants!$C$6,Design!$B$40)/1000*(1+Constants!$C$31/100*(AC74-25)))/($B74+S74-R74*AD74/1000)&gt;Design!$C$35,Design!$C$35,100*(Design!$C$28+S74+R74*IF(ISBLANK(Design!$B$40),Constants!$C$6,Design!$B$40)/1000*(1+Constants!$C$31/100*(AC74-25)))/($B74+S74-R74*AD74/1000))</f>
        <v>57.444477136354919</v>
      </c>
      <c r="U74" s="160">
        <f ca="1">IF(($B74-R74*IF(ISBLANK(Design!$B$40),Constants!$C$6,Design!$B$40)/1000*(1+Constants!$C$31/100*(AC74-25))-Design!$C$28)/(IF(ISBLANK(Design!$B$39),Design!$B$38,Design!$B$39)/1000000)*T74/100/(IF(ISBLANK(Design!$B$32),Design!$B$31,Design!$B$32)*1000000)&lt;0,0,($B74-R74*IF(ISBLANK(Design!$B$40),Constants!$C$6,Design!$B$40)/1000*(1+Constants!$C$31/100*(AC74-25))-Design!$C$28)/(IF(ISBLANK(Design!$B$39),Design!$B$38,Design!$B$39)/1000000)*T74/100/(IF(ISBLANK(Design!$B$32),Design!$B$31,Design!$B$32)*1000000))</f>
        <v>0.40208206487974407</v>
      </c>
      <c r="V74" s="226">
        <f>$B74*Constants!$C$18/1000+IF(ISBLANK(Design!$B$32),Design!$B$31,Design!$B$32)*1000000*Constants!$D$22/1000000000*($B74-Constants!$C$21)</f>
        <v>3.4045000000000013E-2</v>
      </c>
      <c r="W74" s="226">
        <f>$B74*R74*($B74/(Constants!$C$23*1000000000)*IF(ISBLANK(Design!$B$32),Design!$B$31,Design!$B$32)*1000000/2+$B74/(Constants!$C$24*1000000000)*IF(ISBLANK(Design!$B$32),Design!$B$31,Design!$B$32)*1000000/2)</f>
        <v>0.11793379276315794</v>
      </c>
      <c r="X74" s="226">
        <f t="shared" ca="1" si="14"/>
        <v>0.38385002996225986</v>
      </c>
      <c r="Y74" s="226">
        <f>Constants!$D$22/1000000000*Constants!$C$21*IF(ISBLANK(Design!$B$32),Design!$B$31,Design!$B$32)*1000000</f>
        <v>4.9999999999999996E-2</v>
      </c>
      <c r="Z74" s="226">
        <f t="shared" ca="1" si="23"/>
        <v>0.58582882272541781</v>
      </c>
      <c r="AA74" s="226">
        <f t="shared" ca="1" si="19"/>
        <v>0.38374030676243748</v>
      </c>
      <c r="AB74" s="227">
        <f ca="1">$A74+AA74*Design!$B$19</f>
        <v>106.87319748545893</v>
      </c>
      <c r="AC74" s="227">
        <f ca="1">Z74*Design!$C$12+$A74</f>
        <v>104.91817997266421</v>
      </c>
      <c r="AD74" s="227">
        <f ca="1">Constants!$D$19+Constants!$D$19*Constants!$C$20/100*(AC74-25)</f>
        <v>122.42958449782913</v>
      </c>
      <c r="AE74" s="226">
        <f ca="1">(1-Constants!$D$17/1000000000*Design!$B$32*1000000) * ($B74+S74-R74*AD74/1000) - (S74+R74*(1+($A74-25)*Constants!$C$31/100)*IF(ISBLANK(Design!$B$40),Constants!$C$6/1000,Design!$B$40/1000))</f>
        <v>4.5458704375536936</v>
      </c>
      <c r="AF74" s="160">
        <f ca="1">IF(AE74&gt;Design!$C$28,Design!$C$28,AE74)</f>
        <v>3.3239005736137672</v>
      </c>
      <c r="AG74" s="161">
        <f>Design!$D$6/3</f>
        <v>1.1666666666666667</v>
      </c>
      <c r="AH74" s="161">
        <f ca="1">FORECAST(AG74, OFFSET(Design!$C$15:$C$17,MATCH(AG74,Design!$B$15:$B$17,1)-1,0,2), OFFSET(Design!$B$15:$B$17,MATCH(AG74,Design!$B$15:$B$17,1)-1,0,2))+(AQ74-25)*Design!$B$18/1000</f>
        <v>0.32550536872518465</v>
      </c>
      <c r="AI74" s="239">
        <f ca="1">IF(100*(Design!$C$28+AH74+AG74*IF(ISBLANK(Design!$B$40),Constants!$C$6,Design!$B$40)/1000*(1+Constants!$C$31/100*(AR74-25)))/($B74+AH74-AG74*AS74/1000)&gt;Design!$C$35,Design!$C$35,100*(Design!$C$28+AH74+AG74*IF(ISBLANK(Design!$B$40),Constants!$C$6,Design!$B$40)/1000*(1+Constants!$C$31/100*(AR74-25)))/($B74+AH74-AG74*AS74/1000))</f>
        <v>55.28149033469942</v>
      </c>
      <c r="AJ74" s="162">
        <f ca="1">IF(($B74-AG74*IF(ISBLANK(Design!$B$40),Constants!$C$6,Design!$B$40)/1000*(1+Constants!$C$31/100*(AR74-25))-Design!$C$28)/(IF(ISBLANK(Design!$B$39),Design!$B$38,Design!$B$39)/1000000)*AI74/100/(IF(ISBLANK(Design!$B$32),Design!$B$31,Design!$B$32)*1000000)&lt;0,0,($B74-AG74*IF(ISBLANK(Design!$B$40),Constants!$C$6,Design!$B$40)/1000*(1+Constants!$C$31/100*(AR74-25))-Design!$C$28)/(IF(ISBLANK(Design!$B$39),Design!$B$38,Design!$B$39)/1000000)*AI74/100/(IF(ISBLANK(Design!$B$32),Design!$B$31,Design!$B$32)*1000000))</f>
        <v>0.39093350035825275</v>
      </c>
      <c r="AK74" s="240">
        <f>$B74*Constants!$C$18/1000+IF(ISBLANK(Design!$B$32),Design!$B$31,Design!$B$32)*1000000*Constants!$D$22/1000000000*($B74-Constants!$C$21)</f>
        <v>3.4045000000000013E-2</v>
      </c>
      <c r="AL74" s="240">
        <f>$B74*AG74*($B74/(Constants!$C$23*1000000000)*IF(ISBLANK(Design!$B$32),Design!$B$31,Design!$B$32)*1000000/2+$B74/(Constants!$C$24*1000000000)*IF(ISBLANK(Design!$B$32),Design!$B$31,Design!$B$32)*1000000/2)</f>
        <v>5.8966896381578968E-2</v>
      </c>
      <c r="AM74" s="240">
        <f t="shared" ca="1" si="15"/>
        <v>8.8236657120393025E-2</v>
      </c>
      <c r="AN74" s="240">
        <f>Constants!$D$22/1000000000*Constants!$C$21*IF(ISBLANK(Design!$B$32),Design!$B$31,Design!$B$32)*1000000</f>
        <v>4.9999999999999996E-2</v>
      </c>
      <c r="AO74" s="240">
        <f t="shared" ca="1" si="24"/>
        <v>0.23124855350197199</v>
      </c>
      <c r="AP74" s="240">
        <f t="shared" ca="1" si="21"/>
        <v>0.16982134140351798</v>
      </c>
      <c r="AQ74" s="241">
        <f ca="1">$A74+AP74*Design!$B$19</f>
        <v>94.679816460000524</v>
      </c>
      <c r="AR74" s="241">
        <f ca="1">AO74*Design!$C$12+$A74</f>
        <v>92.86245081906705</v>
      </c>
      <c r="AS74" s="241">
        <f ca="1">Constants!$D$19+Constants!$D$19*Constants!$C$20/100*(AR74-25)</f>
        <v>116.17989450460436</v>
      </c>
      <c r="AT74" s="240">
        <f ca="1">(1-Constants!$D$17/1000000000*Design!$B$32*1000000) * ($B74+AH74-AG74*AS74/1000) - (AH74+AG74*(1+($A74-25)*Constants!$C$31/100)*IF(ISBLANK(Design!$B$40),Constants!$C$6/1000,Design!$B$40/1000))</f>
        <v>4.7034305383785409</v>
      </c>
      <c r="AU74" s="162">
        <f ca="1">IF(AT74&gt;Design!$C$28,Design!$C$28,AT74)</f>
        <v>3.3239005736137672</v>
      </c>
    </row>
    <row r="75" spans="1:47" ht="12.75" customHeight="1">
      <c r="A75" s="155">
        <f>Design!$D$13</f>
        <v>85</v>
      </c>
      <c r="B75" s="156">
        <f t="shared" si="12"/>
        <v>6.2600000000000007</v>
      </c>
      <c r="C75" s="157">
        <f>Design!$D$6</f>
        <v>3.5</v>
      </c>
      <c r="D75" s="157">
        <f ca="1">FORECAST(C75, OFFSET(Design!$C$15:$C$17,MATCH(C75,Design!$B$15:$B$17,1)-1,0,2), OFFSET(Design!$B$15:$B$17,MATCH(C75,Design!$B$15:$B$17,1)-1,0,2))+(M75-25)*Design!$B$18/1000</f>
        <v>0.40651461498032171</v>
      </c>
      <c r="E75" s="216">
        <f ca="1">IF(100*(Design!$C$28+D75+C75*IF(ISBLANK(Design!$B$40),Constants!$C$6,Design!$B$40)/1000*(1+Constants!$C$31/100*(N75-25)))/($B75+D75-C75*O75/1000)&gt;Design!$C$35,Design!$C$35,100*(Design!$C$28+D75+C75*IF(ISBLANK(Design!$B$40),Constants!$C$6,Design!$B$40)/1000*(1+Constants!$C$31/100*(N75-25)))/($B75+D75-C75*O75/1000))</f>
        <v>61.7934491386643</v>
      </c>
      <c r="F75" s="158">
        <f ca="1">IF(($B75-C75*IF(ISBLANK(Design!$B$40),Constants!$C$6,Design!$B$40)/1000*(1+Constants!$C$31/100*(N75-25))-Design!$C$28)/(IF(ISBLANK(Design!$B$39),Design!$B$38,Design!$B$39)/1000000)*E75/100/(IF(ISBLANK(Design!$B$32),Design!$B$31,Design!$B$32)*1000000)&lt;0,0,($B75-C75*IF(ISBLANK(Design!$B$40),Constants!$C$6,Design!$B$40)/1000*(1+Constants!$C$31/100*(N75-25))-Design!$C$28)/(IF(ISBLANK(Design!$B$39),Design!$B$38,Design!$B$39)/1000000)*E75/100/(IF(ISBLANK(Design!$B$32),Design!$B$31,Design!$B$32)*1000000))</f>
        <v>0.39853315924747745</v>
      </c>
      <c r="G75" s="208">
        <f>B75*Constants!$C$18/1000+IF(ISBLANK(Design!$B$32),Design!$B$31,Design!$B$32)*1000000*Constants!$D$22/1000000000*(B75-Constants!$C$21)</f>
        <v>3.1380000000000005E-2</v>
      </c>
      <c r="H75" s="208">
        <f>B75*C75*(B75/(Constants!$C$23*1000000000)*IF(ISBLANK(Design!$B$32),Design!$B$31,Design!$B$32)*1000000/2+B75/(Constants!$C$24*1000000000)*IF(ISBLANK(Design!$B$32),Design!$B$31,Design!$B$32)*1000000/2)</f>
        <v>0.16585979824561409</v>
      </c>
      <c r="I75" s="208">
        <f t="shared" ca="1" si="13"/>
        <v>1.0185788280890191</v>
      </c>
      <c r="J75" s="208">
        <f>Constants!$D$22/1000000000*Constants!$C$21*IF(ISBLANK(Design!$B$32),Design!$B$31,Design!$B$32)*1000000</f>
        <v>4.9999999999999996E-2</v>
      </c>
      <c r="K75" s="208">
        <f t="shared" ca="1" si="22"/>
        <v>1.2658186263346332</v>
      </c>
      <c r="L75" s="208">
        <f t="shared" ca="1" si="17"/>
        <v>0.54360324595926857</v>
      </c>
      <c r="M75" s="209">
        <f ca="1">$A75+L75*Design!$B$19</f>
        <v>115.9853850196783</v>
      </c>
      <c r="N75" s="209">
        <f ca="1">K75*Design!$C$12+A75</f>
        <v>128.03783329537754</v>
      </c>
      <c r="O75" s="209">
        <f ca="1">Constants!$D$19+Constants!$D$19*Constants!$C$20/100*(N75-25)</f>
        <v>134.41481278032373</v>
      </c>
      <c r="P75" s="208">
        <f ca="1">(1-Constants!$D$17/1000000000*Design!$B$32*1000000) * ($B75+D75-C75*O75/1000) - (D75+C75*(1+($A75-25)*Constants!$C$31/100)*IF(ISBLANK(Design!$B$40),Constants!$C$6/1000,Design!$B$40/1000))</f>
        <v>4.2159870904090626</v>
      </c>
      <c r="Q75" s="158">
        <f ca="1">IF(P75&gt;Design!$C$28,Design!$C$28,P75)</f>
        <v>3.3239005736137672</v>
      </c>
      <c r="R75" s="159">
        <f>2*Design!$D$6/3</f>
        <v>2.3333333333333335</v>
      </c>
      <c r="S75" s="159">
        <f ca="1">FORECAST(R75, OFFSET(Design!$C$15:$C$17,MATCH(R75,Design!$B$15:$B$17,1)-1,0,2), OFFSET(Design!$B$15:$B$17,MATCH(R75,Design!$B$15:$B$17,1)-1,0,2))+(AB75-25)*Design!$B$18/1000</f>
        <v>0.3873662634460483</v>
      </c>
      <c r="T75" s="225">
        <f ca="1">IF(100*(Design!$C$28+S75+R75*IF(ISBLANK(Design!$B$40),Constants!$C$6,Design!$B$40)/1000*(1+Constants!$C$31/100*(AC75-25)))/($B75+S75-R75*AD75/1000)&gt;Design!$C$35,Design!$C$35,100*(Design!$C$28+S75+R75*IF(ISBLANK(Design!$B$40),Constants!$C$6,Design!$B$40)/1000*(1+Constants!$C$31/100*(AC75-25)))/($B75+S75-R75*AD75/1000))</f>
        <v>59.302820899471826</v>
      </c>
      <c r="U75" s="160">
        <f ca="1">IF(($B75-R75*IF(ISBLANK(Design!$B$40),Constants!$C$6,Design!$B$40)/1000*(1+Constants!$C$31/100*(AC75-25))-Design!$C$28)/(IF(ISBLANK(Design!$B$39),Design!$B$38,Design!$B$39)/1000000)*T75/100/(IF(ISBLANK(Design!$B$32),Design!$B$31,Design!$B$32)*1000000)&lt;0,0,($B75-R75*IF(ISBLANK(Design!$B$40),Constants!$C$6,Design!$B$40)/1000*(1+Constants!$C$31/100*(AC75-25))-Design!$C$28)/(IF(ISBLANK(Design!$B$39),Design!$B$38,Design!$B$39)/1000000)*T75/100/(IF(ISBLANK(Design!$B$32),Design!$B$31,Design!$B$32)*1000000))</f>
        <v>0.3874577311005038</v>
      </c>
      <c r="V75" s="226">
        <f>$B75*Constants!$C$18/1000+IF(ISBLANK(Design!$B$32),Design!$B$31,Design!$B$32)*1000000*Constants!$D$22/1000000000*($B75-Constants!$C$21)</f>
        <v>3.1380000000000005E-2</v>
      </c>
      <c r="W75" s="226">
        <f>$B75*R75*($B75/(Constants!$C$23*1000000000)*IF(ISBLANK(Design!$B$32),Design!$B$31,Design!$B$32)*1000000/2+$B75/(Constants!$C$24*1000000000)*IF(ISBLANK(Design!$B$32),Design!$B$31,Design!$B$32)*1000000/2)</f>
        <v>0.11057319883040939</v>
      </c>
      <c r="X75" s="226">
        <f t="shared" ca="1" si="14"/>
        <v>0.39633828483281075</v>
      </c>
      <c r="Y75" s="226">
        <f>Constants!$D$22/1000000000*Constants!$C$21*IF(ISBLANK(Design!$B$32),Design!$B$31,Design!$B$32)*1000000</f>
        <v>4.9999999999999996E-2</v>
      </c>
      <c r="Z75" s="226">
        <f t="shared" ca="1" si="23"/>
        <v>0.58829148366322026</v>
      </c>
      <c r="AA75" s="226">
        <f t="shared" ca="1" si="19"/>
        <v>0.36784333135587816</v>
      </c>
      <c r="AB75" s="227">
        <f ca="1">$A75+AA75*Design!$B$19</f>
        <v>105.96706988728505</v>
      </c>
      <c r="AC75" s="227">
        <f ca="1">Z75*Design!$C$12+$A75</f>
        <v>105.00191044454948</v>
      </c>
      <c r="AD75" s="227">
        <f ca="1">Constants!$D$19+Constants!$D$19*Constants!$C$20/100*(AC75-25)</f>
        <v>122.47299037445445</v>
      </c>
      <c r="AE75" s="226">
        <f ca="1">(1-Constants!$D$17/1000000000*Design!$B$32*1000000) * ($B75+S75-R75*AD75/1000) - (S75+R75*(1+($A75-25)*Constants!$C$31/100)*IF(ISBLANK(Design!$B$40),Constants!$C$6/1000,Design!$B$40/1000))</f>
        <v>4.3897759938422496</v>
      </c>
      <c r="AF75" s="160">
        <f ca="1">IF(AE75&gt;Design!$C$28,Design!$C$28,AE75)</f>
        <v>3.3239005736137672</v>
      </c>
      <c r="AG75" s="161">
        <f>Design!$D$6/3</f>
        <v>1.1666666666666667</v>
      </c>
      <c r="AH75" s="161">
        <f ca="1">FORECAST(AG75, OFFSET(Design!$C$15:$C$17,MATCH(AG75,Design!$B$15:$B$17,1)-1,0,2), OFFSET(Design!$B$15:$B$17,MATCH(AG75,Design!$B$15:$B$17,1)-1,0,2))+(AQ75-25)*Design!$B$18/1000</f>
        <v>0.32587547344978496</v>
      </c>
      <c r="AI75" s="239">
        <f ca="1">IF(100*(Design!$C$28+AH75+AG75*IF(ISBLANK(Design!$B$40),Constants!$C$6,Design!$B$40)/1000*(1+Constants!$C$31/100*(AR75-25)))/($B75+AH75-AG75*AS75/1000)&gt;Design!$C$35,Design!$C$35,100*(Design!$C$28+AH75+AG75*IF(ISBLANK(Design!$B$40),Constants!$C$6,Design!$B$40)/1000*(1+Constants!$C$31/100*(AR75-25)))/($B75+AH75-AG75*AS75/1000))</f>
        <v>57.040134468554555</v>
      </c>
      <c r="AJ75" s="162">
        <f ca="1">IF(($B75-AG75*IF(ISBLANK(Design!$B$40),Constants!$C$6,Design!$B$40)/1000*(1+Constants!$C$31/100*(AR75-25))-Design!$C$28)/(IF(ISBLANK(Design!$B$39),Design!$B$38,Design!$B$39)/1000000)*AI75/100/(IF(ISBLANK(Design!$B$32),Design!$B$31,Design!$B$32)*1000000)&lt;0,0,($B75-AG75*IF(ISBLANK(Design!$B$40),Constants!$C$6,Design!$B$40)/1000*(1+Constants!$C$31/100*(AR75-25))-Design!$C$28)/(IF(ISBLANK(Design!$B$39),Design!$B$38,Design!$B$39)/1000000)*AI75/100/(IF(ISBLANK(Design!$B$32),Design!$B$31,Design!$B$32)*1000000))</f>
        <v>0.37679604200626304</v>
      </c>
      <c r="AK75" s="240">
        <f>$B75*Constants!$C$18/1000+IF(ISBLANK(Design!$B$32),Design!$B$31,Design!$B$32)*1000000*Constants!$D$22/1000000000*($B75-Constants!$C$21)</f>
        <v>3.1380000000000005E-2</v>
      </c>
      <c r="AL75" s="240">
        <f>$B75*AG75*($B75/(Constants!$C$23*1000000000)*IF(ISBLANK(Design!$B$32),Design!$B$31,Design!$B$32)*1000000/2+$B75/(Constants!$C$24*1000000000)*IF(ISBLANK(Design!$B$32),Design!$B$31,Design!$B$32)*1000000/2)</f>
        <v>5.5286599415204696E-2</v>
      </c>
      <c r="AM75" s="240">
        <f t="shared" ca="1" si="15"/>
        <v>9.0933387935070026E-2</v>
      </c>
      <c r="AN75" s="240">
        <f>Constants!$D$22/1000000000*Constants!$C$21*IF(ISBLANK(Design!$B$32),Design!$B$31,Design!$B$32)*1000000</f>
        <v>4.9999999999999996E-2</v>
      </c>
      <c r="AO75" s="240">
        <f t="shared" ca="1" si="24"/>
        <v>0.2275999873502747</v>
      </c>
      <c r="AP75" s="240">
        <f t="shared" ca="1" si="21"/>
        <v>0.16332827605965361</v>
      </c>
      <c r="AQ75" s="241">
        <f ca="1">$A75+AP75*Design!$B$19</f>
        <v>94.309711735400256</v>
      </c>
      <c r="AR75" s="241">
        <f ca="1">AO75*Design!$C$12+$A75</f>
        <v>92.738399569909333</v>
      </c>
      <c r="AS75" s="241">
        <f ca="1">Constants!$D$19+Constants!$D$19*Constants!$C$20/100*(AR75-25)</f>
        <v>116.11558633704101</v>
      </c>
      <c r="AT75" s="240">
        <f ca="1">(1-Constants!$D$17/1000000000*Design!$B$32*1000000) * ($B75+AH75-AG75*AS75/1000) - (AH75+AG75*(1+($A75-25)*Constants!$C$31/100)*IF(ISBLANK(Design!$B$40),Constants!$C$6/1000,Design!$B$40/1000))</f>
        <v>4.5475987331532091</v>
      </c>
      <c r="AU75" s="162">
        <f ca="1">IF(AT75&gt;Design!$C$28,Design!$C$28,AT75)</f>
        <v>3.3239005736137672</v>
      </c>
    </row>
    <row r="76" spans="1:47" ht="12.75" customHeight="1">
      <c r="A76" s="155">
        <f>Design!$D$13</f>
        <v>85</v>
      </c>
      <c r="B76" s="156">
        <f t="shared" si="12"/>
        <v>6.0550000000000006</v>
      </c>
      <c r="C76" s="157">
        <f>Design!$D$6</f>
        <v>3.5</v>
      </c>
      <c r="D76" s="157">
        <f ca="1">FORECAST(C76, OFFSET(Design!$C$15:$C$17,MATCH(C76,Design!$B$15:$B$17,1)-1,0,2), OFFSET(Design!$B$15:$B$17,MATCH(C76,Design!$B$15:$B$17,1)-1,0,2))+(M76-25)*Design!$B$18/1000</f>
        <v>0.40813738028806046</v>
      </c>
      <c r="E76" s="216">
        <f ca="1">IF(100*(Design!$C$28+D76+C76*IF(ISBLANK(Design!$B$40),Constants!$C$6,Design!$B$40)/1000*(1+Constants!$C$31/100*(N76-25)))/($B76+D76-C76*O76/1000)&gt;Design!$C$35,Design!$C$35,100*(Design!$C$28+D76+C76*IF(ISBLANK(Design!$B$40),Constants!$C$6,Design!$B$40)/1000*(1+Constants!$C$31/100*(N76-25)))/($B76+D76-C76*O76/1000))</f>
        <v>63.938355491038898</v>
      </c>
      <c r="F76" s="158">
        <f ca="1">IF(($B76-C76*IF(ISBLANK(Design!$B$40),Constants!$C$6,Design!$B$40)/1000*(1+Constants!$C$31/100*(N76-25))-Design!$C$28)/(IF(ISBLANK(Design!$B$39),Design!$B$38,Design!$B$39)/1000000)*E76/100/(IF(ISBLANK(Design!$B$32),Design!$B$31,Design!$B$32)*1000000)&lt;0,0,($B76-C76*IF(ISBLANK(Design!$B$40),Constants!$C$6,Design!$B$40)/1000*(1+Constants!$C$31/100*(N76-25))-Design!$C$28)/(IF(ISBLANK(Design!$B$39),Design!$B$38,Design!$B$39)/1000000)*E76/100/(IF(ISBLANK(Design!$B$32),Design!$B$31,Design!$B$32)*1000000))</f>
        <v>0.38254257899146066</v>
      </c>
      <c r="G76" s="208">
        <f>B76*Constants!$C$18/1000+IF(ISBLANK(Design!$B$32),Design!$B$31,Design!$B$32)*1000000*Constants!$D$22/1000000000*(B76-Constants!$C$21)</f>
        <v>2.8715000000000011E-2</v>
      </c>
      <c r="H76" s="208">
        <f>B76*C76*(B76/(Constants!$C$23*1000000000)*IF(ISBLANK(Design!$B$32),Design!$B$31,Design!$B$32)*1000000/2+B76/(Constants!$C$24*1000000000)*IF(ISBLANK(Design!$B$32),Design!$B$31,Design!$B$32)*1000000/2)</f>
        <v>0.15517464528508776</v>
      </c>
      <c r="I76" s="208">
        <f t="shared" ca="1" si="13"/>
        <v>1.0573593675832238</v>
      </c>
      <c r="J76" s="208">
        <f>Constants!$D$22/1000000000*Constants!$C$21*IF(ISBLANK(Design!$B$32),Design!$B$31,Design!$B$32)*1000000</f>
        <v>4.9999999999999996E-2</v>
      </c>
      <c r="K76" s="208">
        <f t="shared" ca="1" si="22"/>
        <v>1.2912490128683116</v>
      </c>
      <c r="L76" s="208">
        <f t="shared" ca="1" si="17"/>
        <v>0.51513367915683461</v>
      </c>
      <c r="M76" s="209">
        <f ca="1">$A76+L76*Design!$B$19</f>
        <v>114.36261971193957</v>
      </c>
      <c r="N76" s="209">
        <f ca="1">K76*Design!$C$12+A76</f>
        <v>128.90246643752261</v>
      </c>
      <c r="O76" s="209">
        <f ca="1">Constants!$D$19+Constants!$D$19*Constants!$C$20/100*(N76-25)</f>
        <v>134.86303860121171</v>
      </c>
      <c r="P76" s="208">
        <f ca="1">(1-Constants!$D$17/1000000000*Design!$B$32*1000000) * ($B76+D76-C76*O76/1000) - (D76+C76*(1+($A76-25)*Constants!$C$31/100)*IF(ISBLANK(Design!$B$40),Constants!$C$6/1000,Design!$B$40/1000))</f>
        <v>4.0586053460516434</v>
      </c>
      <c r="Q76" s="158">
        <f ca="1">IF(P76&gt;Design!$C$28,Design!$C$28,P76)</f>
        <v>3.3239005736137672</v>
      </c>
      <c r="R76" s="159">
        <f>2*Design!$D$6/3</f>
        <v>2.3333333333333335</v>
      </c>
      <c r="S76" s="159">
        <f ca="1">FORECAST(R76, OFFSET(Design!$C$15:$C$17,MATCH(R76,Design!$B$15:$B$17,1)-1,0,2), OFFSET(Design!$B$15:$B$17,MATCH(R76,Design!$B$15:$B$17,1)-1,0,2))+(AB76-25)*Design!$B$18/1000</f>
        <v>0.38833766987099405</v>
      </c>
      <c r="T76" s="225">
        <f ca="1">IF(100*(Design!$C$28+S76+R76*IF(ISBLANK(Design!$B$40),Constants!$C$6,Design!$B$40)/1000*(1+Constants!$C$31/100*(AC76-25)))/($B76+S76-R76*AD76/1000)&gt;Design!$C$35,Design!$C$35,100*(Design!$C$28+S76+R76*IF(ISBLANK(Design!$B$40),Constants!$C$6,Design!$B$40)/1000*(1+Constants!$C$31/100*(AC76-25)))/($B76+S76-R76*AD76/1000))</f>
        <v>61.285410618741373</v>
      </c>
      <c r="U76" s="160">
        <f ca="1">IF(($B76-R76*IF(ISBLANK(Design!$B$40),Constants!$C$6,Design!$B$40)/1000*(1+Constants!$C$31/100*(AC76-25))-Design!$C$28)/(IF(ISBLANK(Design!$B$39),Design!$B$38,Design!$B$39)/1000000)*T76/100/(IF(ISBLANK(Design!$B$32),Design!$B$31,Design!$B$32)*1000000)&lt;0,0,($B76-R76*IF(ISBLANK(Design!$B$40),Constants!$C$6,Design!$B$40)/1000*(1+Constants!$C$31/100*(AC76-25))-Design!$C$28)/(IF(ISBLANK(Design!$B$39),Design!$B$38,Design!$B$39)/1000000)*T76/100/(IF(ISBLANK(Design!$B$32),Design!$B$31,Design!$B$32)*1000000))</f>
        <v>0.37185451648456452</v>
      </c>
      <c r="V76" s="226">
        <f>$B76*Constants!$C$18/1000+IF(ISBLANK(Design!$B$32),Design!$B$31,Design!$B$32)*1000000*Constants!$D$22/1000000000*($B76-Constants!$C$21)</f>
        <v>2.8715000000000011E-2</v>
      </c>
      <c r="W76" s="226">
        <f>$B76*R76*($B76/(Constants!$C$23*1000000000)*IF(ISBLANK(Design!$B$32),Design!$B$31,Design!$B$32)*1000000/2+$B76/(Constants!$C$24*1000000000)*IF(ISBLANK(Design!$B$32),Design!$B$31,Design!$B$32)*1000000/2)</f>
        <v>0.10344976352339183</v>
      </c>
      <c r="X76" s="226">
        <f t="shared" ca="1" si="14"/>
        <v>0.40972656940549523</v>
      </c>
      <c r="Y76" s="226">
        <f>Constants!$D$22/1000000000*Constants!$C$21*IF(ISBLANK(Design!$B$32),Design!$B$31,Design!$B$32)*1000000</f>
        <v>4.9999999999999996E-2</v>
      </c>
      <c r="Z76" s="226">
        <f t="shared" ca="1" si="23"/>
        <v>0.59189133292888707</v>
      </c>
      <c r="AA76" s="226">
        <f t="shared" ca="1" si="19"/>
        <v>0.35080111337437381</v>
      </c>
      <c r="AB76" s="227">
        <f ca="1">$A76+AA76*Design!$B$19</f>
        <v>104.99566346233931</v>
      </c>
      <c r="AC76" s="227">
        <f ca="1">Z76*Design!$C$12+$A76</f>
        <v>105.12430531958216</v>
      </c>
      <c r="AD76" s="227">
        <f ca="1">Constants!$D$19+Constants!$D$19*Constants!$C$20/100*(AC76-25)</f>
        <v>122.5364398776714</v>
      </c>
      <c r="AE76" s="226">
        <f ca="1">(1-Constants!$D$17/1000000000*Design!$B$32*1000000) * ($B76+S76-R76*AD76/1000) - (S76+R76*(1+($A76-25)*Constants!$C$31/100)*IF(ISBLANK(Design!$B$40),Constants!$C$6/1000,Design!$B$40/1000))</f>
        <v>4.2336303391812251</v>
      </c>
      <c r="AF76" s="160">
        <f ca="1">IF(AE76&gt;Design!$C$28,Design!$C$28,AE76)</f>
        <v>3.3239005736137672</v>
      </c>
      <c r="AG76" s="161">
        <f>Design!$D$6/3</f>
        <v>1.1666666666666667</v>
      </c>
      <c r="AH76" s="161">
        <f ca="1">FORECAST(AG76, OFFSET(Design!$C$15:$C$17,MATCH(AG76,Design!$B$15:$B$17,1)-1,0,2), OFFSET(Design!$B$15:$B$17,MATCH(AG76,Design!$B$15:$B$17,1)-1,0,2))+(AQ76-25)*Design!$B$18/1000</f>
        <v>0.32627079806758796</v>
      </c>
      <c r="AI76" s="239">
        <f ca="1">IF(100*(Design!$C$28+AH76+AG76*IF(ISBLANK(Design!$B$40),Constants!$C$6,Design!$B$40)/1000*(1+Constants!$C$31/100*(AR76-25)))/($B76+AH76-AG76*AS76/1000)&gt;Design!$C$35,Design!$C$35,100*(Design!$C$28+AH76+AG76*IF(ISBLANK(Design!$B$40),Constants!$C$6,Design!$B$40)/1000*(1+Constants!$C$31/100*(AR76-25)))/($B76+AH76-AG76*AS76/1000))</f>
        <v>58.914210253215046</v>
      </c>
      <c r="AJ76" s="162">
        <f ca="1">IF(($B76-AG76*IF(ISBLANK(Design!$B$40),Constants!$C$6,Design!$B$40)/1000*(1+Constants!$C$31/100*(AR76-25))-Design!$C$28)/(IF(ISBLANK(Design!$B$39),Design!$B$38,Design!$B$39)/1000000)*AI76/100/(IF(ISBLANK(Design!$B$32),Design!$B$31,Design!$B$32)*1000000)&lt;0,0,($B76-AG76*IF(ISBLANK(Design!$B$40),Constants!$C$6,Design!$B$40)/1000*(1+Constants!$C$31/100*(AR76-25))-Design!$C$28)/(IF(ISBLANK(Design!$B$39),Design!$B$38,Design!$B$39)/1000000)*AI76/100/(IF(ISBLANK(Design!$B$32),Design!$B$31,Design!$B$32)*1000000))</f>
        <v>0.36172855484507666</v>
      </c>
      <c r="AK76" s="240">
        <f>$B76*Constants!$C$18/1000+IF(ISBLANK(Design!$B$32),Design!$B$31,Design!$B$32)*1000000*Constants!$D$22/1000000000*($B76-Constants!$C$21)</f>
        <v>2.8715000000000011E-2</v>
      </c>
      <c r="AL76" s="240">
        <f>$B76*AG76*($B76/(Constants!$C$23*1000000000)*IF(ISBLANK(Design!$B$32),Design!$B$31,Design!$B$32)*1000000/2+$B76/(Constants!$C$24*1000000000)*IF(ISBLANK(Design!$B$32),Design!$B$31,Design!$B$32)*1000000/2)</f>
        <v>5.1724881761695915E-2</v>
      </c>
      <c r="AM76" s="240">
        <f t="shared" ca="1" si="15"/>
        <v>9.3809873131548857E-2</v>
      </c>
      <c r="AN76" s="240">
        <f>Constants!$D$22/1000000000*Constants!$C$21*IF(ISBLANK(Design!$B$32),Design!$B$31,Design!$B$32)*1000000</f>
        <v>4.9999999999999996E-2</v>
      </c>
      <c r="AO76" s="240">
        <f t="shared" ca="1" si="24"/>
        <v>0.22424975489324478</v>
      </c>
      <c r="AP76" s="240">
        <f t="shared" ca="1" si="21"/>
        <v>0.15639275644907424</v>
      </c>
      <c r="AQ76" s="241">
        <f ca="1">$A76+AP76*Design!$B$19</f>
        <v>93.914387117597229</v>
      </c>
      <c r="AR76" s="241">
        <f ca="1">AO76*Design!$C$12+$A76</f>
        <v>92.624491666370318</v>
      </c>
      <c r="AS76" s="241">
        <f ca="1">Constants!$D$19+Constants!$D$19*Constants!$C$20/100*(AR76-25)</f>
        <v>116.05653647984639</v>
      </c>
      <c r="AT76" s="240">
        <f ca="1">(1-Constants!$D$17/1000000000*Design!$B$32*1000000) * ($B76+AH76-AG76*AS76/1000) - (AH76+AG76*(1+($A76-25)*Constants!$C$31/100)*IF(ISBLANK(Design!$B$40),Constants!$C$6/1000,Design!$B$40/1000))</f>
        <v>4.3917562127849825</v>
      </c>
      <c r="AU76" s="162">
        <f ca="1">IF(AT76&gt;Design!$C$28,Design!$C$28,AT76)</f>
        <v>3.3239005736137672</v>
      </c>
    </row>
    <row r="77" spans="1:47" ht="12.75" customHeight="1">
      <c r="A77" s="155">
        <f>Design!$D$13</f>
        <v>85</v>
      </c>
      <c r="B77" s="156">
        <f t="shared" si="12"/>
        <v>5.8500000000000005</v>
      </c>
      <c r="C77" s="157">
        <f>Design!$D$6</f>
        <v>3.5</v>
      </c>
      <c r="D77" s="157">
        <f ca="1">FORECAST(C77, OFFSET(Design!$C$15:$C$17,MATCH(C77,Design!$B$15:$B$17,1)-1,0,2), OFFSET(Design!$B$15:$B$17,MATCH(C77,Design!$B$15:$B$17,1)-1,0,2))+(M77-25)*Design!$B$18/1000</f>
        <v>0.40989258029448505</v>
      </c>
      <c r="E77" s="216">
        <f ca="1">IF(100*(Design!$C$28+D77+C77*IF(ISBLANK(Design!$B$40),Constants!$C$6,Design!$B$40)/1000*(1+Constants!$C$31/100*(N77-25)))/($B77+D77-C77*O77/1000)&gt;Design!$C$35,Design!$C$35,100*(Design!$C$28+D77+C77*IF(ISBLANK(Design!$B$40),Constants!$C$6,Design!$B$40)/1000*(1+Constants!$C$31/100*(N77-25)))/($B77+D77-C77*O77/1000))</f>
        <v>66.239189772946304</v>
      </c>
      <c r="F77" s="158">
        <f ca="1">IF(($B77-C77*IF(ISBLANK(Design!$B$40),Constants!$C$6,Design!$B$40)/1000*(1+Constants!$C$31/100*(N77-25))-Design!$C$28)/(IF(ISBLANK(Design!$B$39),Design!$B$38,Design!$B$39)/1000000)*E77/100/(IF(ISBLANK(Design!$B$32),Design!$B$31,Design!$B$32)*1000000)&lt;0,0,($B77-C77*IF(ISBLANK(Design!$B$40),Constants!$C$6,Design!$B$40)/1000*(1+Constants!$C$31/100*(N77-25))-Design!$C$28)/(IF(ISBLANK(Design!$B$39),Design!$B$38,Design!$B$39)/1000000)*E77/100/(IF(ISBLANK(Design!$B$32),Design!$B$31,Design!$B$32)*1000000))</f>
        <v>0.36540599135142449</v>
      </c>
      <c r="G77" s="208">
        <f>B77*Constants!$C$18/1000+IF(ISBLANK(Design!$B$32),Design!$B$31,Design!$B$32)*1000000*Constants!$D$22/1000000000*(B77-Constants!$C$21)</f>
        <v>2.6050000000000004E-2</v>
      </c>
      <c r="H77" s="208">
        <f>B77*C77*(B77/(Constants!$C$23*1000000000)*IF(ISBLANK(Design!$B$32),Design!$B$31,Design!$B$32)*1000000/2+B77/(Constants!$C$24*1000000000)*IF(ISBLANK(Design!$B$32),Design!$B$31,Design!$B$32)*1000000/2)</f>
        <v>0.14484523026315793</v>
      </c>
      <c r="I77" s="208">
        <f t="shared" ca="1" si="13"/>
        <v>1.0994830742147055</v>
      </c>
      <c r="J77" s="208">
        <f>Constants!$D$22/1000000000*Constants!$C$21*IF(ISBLANK(Design!$B$32),Design!$B$31,Design!$B$32)*1000000</f>
        <v>4.9999999999999996E-2</v>
      </c>
      <c r="K77" s="208">
        <f t="shared" ca="1" si="22"/>
        <v>1.3203783044778634</v>
      </c>
      <c r="L77" s="208">
        <f t="shared" ca="1" si="17"/>
        <v>0.48434069658798173</v>
      </c>
      <c r="M77" s="209">
        <f ca="1">$A77+L77*Design!$B$19</f>
        <v>112.60741970551496</v>
      </c>
      <c r="N77" s="209">
        <f ca="1">K77*Design!$C$12+A77</f>
        <v>129.89286235224736</v>
      </c>
      <c r="O77" s="209">
        <f ca="1">Constants!$D$19+Constants!$D$19*Constants!$C$20/100*(N77-25)</f>
        <v>135.37645984340503</v>
      </c>
      <c r="P77" s="208">
        <f ca="1">(1-Constants!$D$17/1000000000*Design!$B$32*1000000) * ($B77+D77-C77*O77/1000) - (D77+C77*(1+($A77-25)*Constants!$C$31/100)*IF(ISBLANK(Design!$B$40),Constants!$C$6/1000,Design!$B$40/1000))</f>
        <v>3.9010183975458665</v>
      </c>
      <c r="Q77" s="158">
        <f ca="1">IF(P77&gt;Design!$C$28,Design!$C$28,P77)</f>
        <v>3.3239005736137672</v>
      </c>
      <c r="R77" s="159">
        <f>2*Design!$D$6/3</f>
        <v>2.3333333333333335</v>
      </c>
      <c r="S77" s="159">
        <f ca="1">FORECAST(R77, OFFSET(Design!$C$15:$C$17,MATCH(R77,Design!$B$15:$B$17,1)-1,0,2), OFFSET(Design!$B$15:$B$17,MATCH(R77,Design!$B$15:$B$17,1)-1,0,2))+(AB77-25)*Design!$B$18/1000</f>
        <v>0.3893816594071709</v>
      </c>
      <c r="T77" s="225">
        <f ca="1">IF(100*(Design!$C$28+S77+R77*IF(ISBLANK(Design!$B$40),Constants!$C$6,Design!$B$40)/1000*(1+Constants!$C$31/100*(AC77-25)))/($B77+S77-R77*AD77/1000)&gt;Design!$C$35,Design!$C$35,100*(Design!$C$28+S77+R77*IF(ISBLANK(Design!$B$40),Constants!$C$6,Design!$B$40)/1000*(1+Constants!$C$31/100*(AC77-25)))/($B77+S77-R77*AD77/1000))</f>
        <v>63.405110262393933</v>
      </c>
      <c r="U77" s="160">
        <f ca="1">IF(($B77-R77*IF(ISBLANK(Design!$B$40),Constants!$C$6,Design!$B$40)/1000*(1+Constants!$C$31/100*(AC77-25))-Design!$C$28)/(IF(ISBLANK(Design!$B$39),Design!$B$38,Design!$B$39)/1000000)*T77/100/(IF(ISBLANK(Design!$B$32),Design!$B$31,Design!$B$32)*1000000)&lt;0,0,($B77-R77*IF(ISBLANK(Design!$B$40),Constants!$C$6,Design!$B$40)/1000*(1+Constants!$C$31/100*(AC77-25))-Design!$C$28)/(IF(ISBLANK(Design!$B$39),Design!$B$38,Design!$B$39)/1000000)*T77/100/(IF(ISBLANK(Design!$B$32),Design!$B$31,Design!$B$32)*1000000))</f>
        <v>0.35517061386885357</v>
      </c>
      <c r="V77" s="226">
        <f>$B77*Constants!$C$18/1000+IF(ISBLANK(Design!$B$32),Design!$B$31,Design!$B$32)*1000000*Constants!$D$22/1000000000*($B77-Constants!$C$21)</f>
        <v>2.6050000000000004E-2</v>
      </c>
      <c r="W77" s="226">
        <f>$B77*R77*($B77/(Constants!$C$23*1000000000)*IF(ISBLANK(Design!$B$32),Design!$B$31,Design!$B$32)*1000000/2+$B77/(Constants!$C$24*1000000000)*IF(ISBLANK(Design!$B$32),Design!$B$31,Design!$B$32)*1000000/2)</f>
        <v>9.6563486842105306E-2</v>
      </c>
      <c r="X77" s="226">
        <f t="shared" ca="1" si="14"/>
        <v>0.42411422561767342</v>
      </c>
      <c r="Y77" s="226">
        <f>Constants!$D$22/1000000000*Constants!$C$21*IF(ISBLANK(Design!$B$32),Design!$B$31,Design!$B$32)*1000000</f>
        <v>4.9999999999999996E-2</v>
      </c>
      <c r="Z77" s="226">
        <f t="shared" ca="1" si="23"/>
        <v>0.59672771245977874</v>
      </c>
      <c r="AA77" s="226">
        <f t="shared" ca="1" si="19"/>
        <v>0.33248550747653494</v>
      </c>
      <c r="AB77" s="227">
        <f ca="1">$A77+AA77*Design!$B$19</f>
        <v>103.9516739261625</v>
      </c>
      <c r="AC77" s="227">
        <f ca="1">Z77*Design!$C$12+$A77</f>
        <v>105.28874222363248</v>
      </c>
      <c r="AD77" s="227">
        <f ca="1">Constants!$D$19+Constants!$D$19*Constants!$C$20/100*(AC77-25)</f>
        <v>122.62168396873108</v>
      </c>
      <c r="AE77" s="226">
        <f ca="1">(1-Constants!$D$17/1000000000*Design!$B$32*1000000) * ($B77+S77-R77*AD77/1000) - (S77+R77*(1+($A77-25)*Constants!$C$31/100)*IF(ISBLANK(Design!$B$40),Constants!$C$6/1000,Design!$B$40/1000))</f>
        <v>4.0774286155043962</v>
      </c>
      <c r="AF77" s="160">
        <f ca="1">IF(AE77&gt;Design!$C$28,Design!$C$28,AE77)</f>
        <v>3.3239005736137672</v>
      </c>
      <c r="AG77" s="161">
        <f>Design!$D$6/3</f>
        <v>1.1666666666666667</v>
      </c>
      <c r="AH77" s="161">
        <f ca="1">FORECAST(AG77, OFFSET(Design!$C$15:$C$17,MATCH(AG77,Design!$B$15:$B$17,1)-1,0,2), OFFSET(Design!$B$15:$B$17,MATCH(AG77,Design!$B$15:$B$17,1)-1,0,2))+(AQ77-25)*Design!$B$18/1000</f>
        <v>0.32669400666665693</v>
      </c>
      <c r="AI77" s="239">
        <f ca="1">IF(100*(Design!$C$28+AH77+AG77*IF(ISBLANK(Design!$B$40),Constants!$C$6,Design!$B$40)/1000*(1+Constants!$C$31/100*(AR77-25)))/($B77+AH77-AG77*AS77/1000)&gt;Design!$C$35,Design!$C$35,100*(Design!$C$28+AH77+AG77*IF(ISBLANK(Design!$B$40),Constants!$C$6,Design!$B$40)/1000*(1+Constants!$C$31/100*(AR77-25)))/($B77+AH77-AG77*AS77/1000))</f>
        <v>60.915446133130999</v>
      </c>
      <c r="AJ77" s="162">
        <f ca="1">IF(($B77-AG77*IF(ISBLANK(Design!$B$40),Constants!$C$6,Design!$B$40)/1000*(1+Constants!$C$31/100*(AR77-25))-Design!$C$28)/(IF(ISBLANK(Design!$B$39),Design!$B$38,Design!$B$39)/1000000)*AI77/100/(IF(ISBLANK(Design!$B$32),Design!$B$31,Design!$B$32)*1000000)&lt;0,0,($B77-AG77*IF(ISBLANK(Design!$B$40),Constants!$C$6,Design!$B$40)/1000*(1+Constants!$C$31/100*(AR77-25))-Design!$C$28)/(IF(ISBLANK(Design!$B$39),Design!$B$38,Design!$B$39)/1000000)*AI77/100/(IF(ISBLANK(Design!$B$32),Design!$B$31,Design!$B$32)*1000000))</f>
        <v>0.34563623277659555</v>
      </c>
      <c r="AK77" s="240">
        <f>$B77*Constants!$C$18/1000+IF(ISBLANK(Design!$B$32),Design!$B$31,Design!$B$32)*1000000*Constants!$D$22/1000000000*($B77-Constants!$C$21)</f>
        <v>2.6050000000000004E-2</v>
      </c>
      <c r="AL77" s="240">
        <f>$B77*AG77*($B77/(Constants!$C$23*1000000000)*IF(ISBLANK(Design!$B$32),Design!$B$31,Design!$B$32)*1000000/2+$B77/(Constants!$C$24*1000000000)*IF(ISBLANK(Design!$B$32),Design!$B$31,Design!$B$32)*1000000/2)</f>
        <v>4.8281743421052653E-2</v>
      </c>
      <c r="AM77" s="240">
        <f t="shared" ca="1" si="15"/>
        <v>9.6884753339449112E-2</v>
      </c>
      <c r="AN77" s="240">
        <f>Constants!$D$22/1000000000*Constants!$C$21*IF(ISBLANK(Design!$B$32),Design!$B$31,Design!$B$32)*1000000</f>
        <v>4.9999999999999996E-2</v>
      </c>
      <c r="AO77" s="240">
        <f t="shared" ca="1" si="24"/>
        <v>0.22121649676050176</v>
      </c>
      <c r="AP77" s="240">
        <f t="shared" ca="1" si="21"/>
        <v>0.14896804418470583</v>
      </c>
      <c r="AQ77" s="241">
        <f ca="1">$A77+AP77*Design!$B$19</f>
        <v>93.49117851852823</v>
      </c>
      <c r="AR77" s="241">
        <f ca="1">AO77*Design!$C$12+$A77</f>
        <v>92.521360889857064</v>
      </c>
      <c r="AS77" s="241">
        <f ca="1">Constants!$D$19+Constants!$D$19*Constants!$C$20/100*(AR77-25)</f>
        <v>116.00307348530191</v>
      </c>
      <c r="AT77" s="240">
        <f ca="1">(1-Constants!$D$17/1000000000*Design!$B$32*1000000) * ($B77+AH77-AG77*AS77/1000) - (AH77+AG77*(1+($A77-25)*Constants!$C$31/100)*IF(ISBLANK(Design!$B$40),Constants!$C$6/1000,Design!$B$40/1000))</f>
        <v>4.2359020465763688</v>
      </c>
      <c r="AU77" s="162">
        <f ca="1">IF(AT77&gt;Design!$C$28,Design!$C$28,AT77)</f>
        <v>3.3239005736137672</v>
      </c>
    </row>
    <row r="78" spans="1:47" ht="12.75" customHeight="1">
      <c r="A78" s="155">
        <f>Design!$D$13</f>
        <v>85</v>
      </c>
      <c r="B78" s="156">
        <f t="shared" si="12"/>
        <v>5.6450000000000005</v>
      </c>
      <c r="C78" s="157">
        <f>Design!$D$6</f>
        <v>3.5</v>
      </c>
      <c r="D78" s="157">
        <f ca="1">FORECAST(C78, OFFSET(Design!$C$15:$C$17,MATCH(C78,Design!$B$15:$B$17,1)-1,0,2), OFFSET(Design!$B$15:$B$17,MATCH(C78,Design!$B$15:$B$17,1)-1,0,2))+(M78-25)*Design!$B$18/1000</f>
        <v>0.41179724821904795</v>
      </c>
      <c r="E78" s="216">
        <f ca="1">IF(100*(Design!$C$28+D78+C78*IF(ISBLANK(Design!$B$40),Constants!$C$6,Design!$B$40)/1000*(1+Constants!$C$31/100*(N78-25)))/($B78+D78-C78*O78/1000)&gt;Design!$C$35,Design!$C$35,100*(Design!$C$28+D78+C78*IF(ISBLANK(Design!$B$40),Constants!$C$6,Design!$B$40)/1000*(1+Constants!$C$31/100*(N78-25)))/($B78+D78-C78*O78/1000))</f>
        <v>68.713766523873502</v>
      </c>
      <c r="F78" s="158">
        <f ca="1">IF(($B78-C78*IF(ISBLANK(Design!$B$40),Constants!$C$6,Design!$B$40)/1000*(1+Constants!$C$31/100*(N78-25))-Design!$C$28)/(IF(ISBLANK(Design!$B$39),Design!$B$38,Design!$B$39)/1000000)*E78/100/(IF(ISBLANK(Design!$B$32),Design!$B$31,Design!$B$32)*1000000)&lt;0,0,($B78-C78*IF(ISBLANK(Design!$B$40),Constants!$C$6,Design!$B$40)/1000*(1+Constants!$C$31/100*(N78-25))-Design!$C$28)/(IF(ISBLANK(Design!$B$39),Design!$B$38,Design!$B$39)/1000000)*E78/100/(IF(ISBLANK(Design!$B$32),Design!$B$31,Design!$B$32)*1000000))</f>
        <v>0.3469939271422528</v>
      </c>
      <c r="G78" s="208">
        <f>B78*Constants!$C$18/1000+IF(ISBLANK(Design!$B$32),Design!$B$31,Design!$B$32)*1000000*Constants!$D$22/1000000000*(B78-Constants!$C$21)</f>
        <v>2.3385000000000006E-2</v>
      </c>
      <c r="H78" s="208">
        <f>B78*C78*(B78/(Constants!$C$23*1000000000)*IF(ISBLANK(Design!$B$32),Design!$B$31,Design!$B$32)*1000000/2+B78/(Constants!$C$24*1000000000)*IF(ISBLANK(Design!$B$32),Design!$B$31,Design!$B$32)*1000000/2)</f>
        <v>0.13487155317982458</v>
      </c>
      <c r="I78" s="208">
        <f t="shared" ca="1" si="13"/>
        <v>1.1453969288934613</v>
      </c>
      <c r="J78" s="208">
        <f>Constants!$D$22/1000000000*Constants!$C$21*IF(ISBLANK(Design!$B$32),Design!$B$31,Design!$B$32)*1000000</f>
        <v>4.9999999999999996E-2</v>
      </c>
      <c r="K78" s="208">
        <f t="shared" ca="1" si="22"/>
        <v>1.353653482073286</v>
      </c>
      <c r="L78" s="208">
        <f t="shared" ca="1" si="17"/>
        <v>0.45092546984126436</v>
      </c>
      <c r="M78" s="209">
        <f ca="1">$A78+L78*Design!$B$19</f>
        <v>110.70275178095207</v>
      </c>
      <c r="N78" s="209">
        <f ca="1">K78*Design!$C$12+A78</f>
        <v>131.02421839049174</v>
      </c>
      <c r="O78" s="209">
        <f ca="1">Constants!$D$19+Constants!$D$19*Constants!$C$20/100*(N78-25)</f>
        <v>135.96295481363092</v>
      </c>
      <c r="P78" s="208">
        <f ca="1">(1-Constants!$D$17/1000000000*Design!$B$32*1000000) * ($B78+D78-C78*O78/1000) - (D78+C78*(1+($A78-25)*Constants!$C$31/100)*IF(ISBLANK(Design!$B$40),Constants!$C$6/1000,Design!$B$40/1000))</f>
        <v>3.7432012006231705</v>
      </c>
      <c r="Q78" s="158">
        <f ca="1">IF(P78&gt;Design!$C$28,Design!$C$28,P78)</f>
        <v>3.3239005736137672</v>
      </c>
      <c r="R78" s="159">
        <f>2*Design!$D$6/3</f>
        <v>2.3333333333333335</v>
      </c>
      <c r="S78" s="159">
        <f ca="1">FORECAST(R78, OFFSET(Design!$C$15:$C$17,MATCH(R78,Design!$B$15:$B$17,1)-1,0,2), OFFSET(Design!$B$15:$B$17,MATCH(R78,Design!$B$15:$B$17,1)-1,0,2))+(AB78-25)*Design!$B$18/1000</f>
        <v>0.3905066662167509</v>
      </c>
      <c r="T78" s="225">
        <f ca="1">IF(100*(Design!$C$28+S78+R78*IF(ISBLANK(Design!$B$40),Constants!$C$6,Design!$B$40)/1000*(1+Constants!$C$31/100*(AC78-25)))/($B78+S78-R78*AD78/1000)&gt;Design!$C$35,Design!$C$35,100*(Design!$C$28+S78+R78*IF(ISBLANK(Design!$B$40),Constants!$C$6,Design!$B$40)/1000*(1+Constants!$C$31/100*(AC78-25)))/($B78+S78-R78*AD78/1000))</f>
        <v>65.67661894208797</v>
      </c>
      <c r="U78" s="160">
        <f ca="1">IF(($B78-R78*IF(ISBLANK(Design!$B$40),Constants!$C$6,Design!$B$40)/1000*(1+Constants!$C$31/100*(AC78-25))-Design!$C$28)/(IF(ISBLANK(Design!$B$39),Design!$B$38,Design!$B$39)/1000000)*T78/100/(IF(ISBLANK(Design!$B$32),Design!$B$31,Design!$B$32)*1000000)&lt;0,0,($B78-R78*IF(ISBLANK(Design!$B$40),Constants!$C$6,Design!$B$40)/1000*(1+Constants!$C$31/100*(AC78-25))-Design!$C$28)/(IF(ISBLANK(Design!$B$39),Design!$B$38,Design!$B$39)/1000000)*T78/100/(IF(ISBLANK(Design!$B$32),Design!$B$31,Design!$B$32)*1000000))</f>
        <v>0.33728962368674159</v>
      </c>
      <c r="V78" s="226">
        <f>$B78*Constants!$C$18/1000+IF(ISBLANK(Design!$B$32),Design!$B$31,Design!$B$32)*1000000*Constants!$D$22/1000000000*($B78-Constants!$C$21)</f>
        <v>2.3385000000000006E-2</v>
      </c>
      <c r="W78" s="226">
        <f>$B78*R78*($B78/(Constants!$C$23*1000000000)*IF(ISBLANK(Design!$B$32),Design!$B$31,Design!$B$32)*1000000/2+$B78/(Constants!$C$24*1000000000)*IF(ISBLANK(Design!$B$32),Design!$B$31,Design!$B$32)*1000000/2)</f>
        <v>8.9914368786549723E-2</v>
      </c>
      <c r="X78" s="226">
        <f t="shared" ca="1" si="14"/>
        <v>0.43961579821749003</v>
      </c>
      <c r="Y78" s="226">
        <f>Constants!$D$22/1000000000*Constants!$C$21*IF(ISBLANK(Design!$B$32),Design!$B$31,Design!$B$32)*1000000</f>
        <v>4.9999999999999996E-2</v>
      </c>
      <c r="Z78" s="226">
        <f t="shared" ca="1" si="23"/>
        <v>0.6029151670040398</v>
      </c>
      <c r="AA78" s="226">
        <f t="shared" ca="1" si="19"/>
        <v>0.3127485459049561</v>
      </c>
      <c r="AB78" s="227">
        <f ca="1">$A78+AA78*Design!$B$19</f>
        <v>102.8266671165825</v>
      </c>
      <c r="AC78" s="227">
        <f ca="1">Z78*Design!$C$12+$A78</f>
        <v>105.49911567813736</v>
      </c>
      <c r="AD78" s="227">
        <f ca="1">Constants!$D$19+Constants!$D$19*Constants!$C$20/100*(AC78-25)</f>
        <v>122.7307415675464</v>
      </c>
      <c r="AE78" s="226">
        <f ca="1">(1-Constants!$D$17/1000000000*Design!$B$32*1000000) * ($B78+S78-R78*AD78/1000) - (S78+R78*(1+($A78-25)*Constants!$C$31/100)*IF(ISBLANK(Design!$B$40),Constants!$C$6/1000,Design!$B$40/1000))</f>
        <v>3.9211652183948646</v>
      </c>
      <c r="AF78" s="160">
        <f ca="1">IF(AE78&gt;Design!$C$28,Design!$C$28,AE78)</f>
        <v>3.3239005736137672</v>
      </c>
      <c r="AG78" s="161">
        <f>Design!$D$6/3</f>
        <v>1.1666666666666667</v>
      </c>
      <c r="AH78" s="161">
        <f ca="1">FORECAST(AG78, OFFSET(Design!$C$15:$C$17,MATCH(AG78,Design!$B$15:$B$17,1)-1,0,2), OFFSET(Design!$B$15:$B$17,MATCH(AG78,Design!$B$15:$B$17,1)-1,0,2))+(AQ78-25)*Design!$B$18/1000</f>
        <v>0.32714815154368715</v>
      </c>
      <c r="AI78" s="239">
        <f ca="1">IF(100*(Design!$C$28+AH78+AG78*IF(ISBLANK(Design!$B$40),Constants!$C$6,Design!$B$40)/1000*(1+Constants!$C$31/100*(AR78-25)))/($B78+AH78-AG78*AS78/1000)&gt;Design!$C$35,Design!$C$35,100*(Design!$C$28+AH78+AG78*IF(ISBLANK(Design!$B$40),Constants!$C$6,Design!$B$40)/1000*(1+Constants!$C$31/100*(AR78-25)))/($B78+AH78-AG78*AS78/1000))</f>
        <v>63.057211794090584</v>
      </c>
      <c r="AJ78" s="162">
        <f ca="1">IF(($B78-AG78*IF(ISBLANK(Design!$B$40),Constants!$C$6,Design!$B$40)/1000*(1+Constants!$C$31/100*(AR78-25))-Design!$C$28)/(IF(ISBLANK(Design!$B$39),Design!$B$38,Design!$B$39)/1000000)*AI78/100/(IF(ISBLANK(Design!$B$32),Design!$B$31,Design!$B$32)*1000000)&lt;0,0,($B78-AG78*IF(ISBLANK(Design!$B$40),Constants!$C$6,Design!$B$40)/1000*(1+Constants!$C$31/100*(AR78-25))-Design!$C$28)/(IF(ISBLANK(Design!$B$39),Design!$B$38,Design!$B$39)/1000000)*AI78/100/(IF(ISBLANK(Design!$B$32),Design!$B$31,Design!$B$32)*1000000))</f>
        <v>0.3284109570778409</v>
      </c>
      <c r="AK78" s="240">
        <f>$B78*Constants!$C$18/1000+IF(ISBLANK(Design!$B$32),Design!$B$31,Design!$B$32)*1000000*Constants!$D$22/1000000000*($B78-Constants!$C$21)</f>
        <v>2.3385000000000006E-2</v>
      </c>
      <c r="AL78" s="240">
        <f>$B78*AG78*($B78/(Constants!$C$23*1000000000)*IF(ISBLANK(Design!$B$32),Design!$B$31,Design!$B$32)*1000000/2+$B78/(Constants!$C$24*1000000000)*IF(ISBLANK(Design!$B$32),Design!$B$31,Design!$B$32)*1000000/2)</f>
        <v>4.4957184393274861E-2</v>
      </c>
      <c r="AM78" s="240">
        <f t="shared" ca="1" si="15"/>
        <v>0.10017937490438947</v>
      </c>
      <c r="AN78" s="240">
        <f>Constants!$D$22/1000000000*Constants!$C$21*IF(ISBLANK(Design!$B$32),Design!$B$31,Design!$B$32)*1000000</f>
        <v>4.9999999999999996E-2</v>
      </c>
      <c r="AO78" s="240">
        <f t="shared" ca="1" si="24"/>
        <v>0.21852155929766431</v>
      </c>
      <c r="AP78" s="240">
        <f t="shared" ca="1" si="21"/>
        <v>0.14100059020172057</v>
      </c>
      <c r="AQ78" s="241">
        <f ca="1">$A78+AP78*Design!$B$19</f>
        <v>93.03703364149807</v>
      </c>
      <c r="AR78" s="241">
        <f ca="1">AO78*Design!$C$12+$A78</f>
        <v>92.429733016120593</v>
      </c>
      <c r="AS78" s="241">
        <f ca="1">Constants!$D$19+Constants!$D$19*Constants!$C$20/100*(AR78-25)</f>
        <v>115.95557359555693</v>
      </c>
      <c r="AT78" s="240">
        <f ca="1">(1-Constants!$D$17/1000000000*Design!$B$32*1000000) * ($B78+AH78-AG78*AS78/1000) - (AH78+AG78*(1+($A78-25)*Constants!$C$31/100)*IF(ISBLANK(Design!$B$40),Constants!$C$6/1000,Design!$B$40/1000))</f>
        <v>4.0800351683747884</v>
      </c>
      <c r="AU78" s="162">
        <f ca="1">IF(AT78&gt;Design!$C$28,Design!$C$28,AT78)</f>
        <v>3.3239005736137672</v>
      </c>
    </row>
    <row r="79" spans="1:47" ht="12.75" customHeight="1">
      <c r="A79" s="155">
        <f>Design!$D$13</f>
        <v>85</v>
      </c>
      <c r="B79" s="156">
        <f t="shared" si="12"/>
        <v>5.44</v>
      </c>
      <c r="C79" s="157">
        <f>Design!$D$6</f>
        <v>3.5</v>
      </c>
      <c r="D79" s="157">
        <f ca="1">FORECAST(C79, OFFSET(Design!$C$15:$C$17,MATCH(C79,Design!$B$15:$B$17,1)-1,0,2), OFFSET(Design!$B$15:$B$17,MATCH(C79,Design!$B$15:$B$17,1)-1,0,2))+(M79-25)*Design!$B$18/1000</f>
        <v>0.41387149800775958</v>
      </c>
      <c r="E79" s="216">
        <f ca="1">IF(100*(Design!$C$28+D79+C79*IF(ISBLANK(Design!$B$40),Constants!$C$6,Design!$B$40)/1000*(1+Constants!$C$31/100*(N79-25)))/($B79+D79-C79*O79/1000)&gt;Design!$C$35,Design!$C$35,100*(Design!$C$28+D79+C79*IF(ISBLANK(Design!$B$40),Constants!$C$6,Design!$B$40)/1000*(1+Constants!$C$31/100*(N79-25)))/($B79+D79-C79*O79/1000))</f>
        <v>71.382758405079869</v>
      </c>
      <c r="F79" s="158">
        <f ca="1">IF(($B79-C79*IF(ISBLANK(Design!$B$40),Constants!$C$6,Design!$B$40)/1000*(1+Constants!$C$31/100*(N79-25))-Design!$C$28)/(IF(ISBLANK(Design!$B$39),Design!$B$38,Design!$B$39)/1000000)*E79/100/(IF(ISBLANK(Design!$B$32),Design!$B$31,Design!$B$32)*1000000)&lt;0,0,($B79-C79*IF(ISBLANK(Design!$B$40),Constants!$C$6,Design!$B$40)/1000*(1+Constants!$C$31/100*(N79-25))-Design!$C$28)/(IF(ISBLANK(Design!$B$39),Design!$B$38,Design!$B$39)/1000000)*E79/100/(IF(ISBLANK(Design!$B$32),Design!$B$31,Design!$B$32)*1000000))</f>
        <v>0.32715645849178288</v>
      </c>
      <c r="G79" s="208">
        <f>B79*Constants!$C$18/1000+IF(ISBLANK(Design!$B$32),Design!$B$31,Design!$B$32)*1000000*Constants!$D$22/1000000000*(B79-Constants!$C$21)</f>
        <v>2.0720000000000006E-2</v>
      </c>
      <c r="H79" s="208">
        <f>B79*C79*(B79/(Constants!$C$23*1000000000)*IF(ISBLANK(Design!$B$32),Design!$B$31,Design!$B$32)*1000000/2+B79/(Constants!$C$24*1000000000)*IF(ISBLANK(Design!$B$32),Design!$B$31,Design!$B$32)*1000000/2)</f>
        <v>0.12525361403508775</v>
      </c>
      <c r="I79" s="208">
        <f t="shared" ca="1" si="13"/>
        <v>1.1956321237663698</v>
      </c>
      <c r="J79" s="208">
        <f>Constants!$D$22/1000000000*Constants!$C$21*IF(ISBLANK(Design!$B$32),Design!$B$31,Design!$B$32)*1000000</f>
        <v>4.9999999999999996E-2</v>
      </c>
      <c r="K79" s="208">
        <f t="shared" ca="1" si="22"/>
        <v>1.3916057378014577</v>
      </c>
      <c r="L79" s="208">
        <f t="shared" ca="1" si="17"/>
        <v>0.4145351226708846</v>
      </c>
      <c r="M79" s="209">
        <f ca="1">$A79+L79*Design!$B$19</f>
        <v>108.62850199224042</v>
      </c>
      <c r="N79" s="209">
        <f ca="1">K79*Design!$C$12+A79</f>
        <v>132.31459508524955</v>
      </c>
      <c r="O79" s="209">
        <f ca="1">Constants!$D$19+Constants!$D$19*Constants!$C$20/100*(N79-25)</f>
        <v>136.63188609219338</v>
      </c>
      <c r="P79" s="208">
        <f ca="1">(1-Constants!$D$17/1000000000*Design!$B$32*1000000) * ($B79+D79-C79*O79/1000) - (D79+C79*(1+($A79-25)*Constants!$C$31/100)*IF(ISBLANK(Design!$B$40),Constants!$C$6/1000,Design!$B$40/1000))</f>
        <v>3.5851240234729032</v>
      </c>
      <c r="Q79" s="158">
        <f ca="1">IF(P79&gt;Design!$C$28,Design!$C$28,P79)</f>
        <v>3.3239005736137672</v>
      </c>
      <c r="R79" s="159">
        <f>2*Design!$D$6/3</f>
        <v>2.3333333333333335</v>
      </c>
      <c r="S79" s="159">
        <f ca="1">FORECAST(R79, OFFSET(Design!$C$15:$C$17,MATCH(R79,Design!$B$15:$B$17,1)-1,0,2), OFFSET(Design!$B$15:$B$17,MATCH(R79,Design!$B$15:$B$17,1)-1,0,2))+(AB79-25)*Design!$B$18/1000</f>
        <v>0.3917224811404868</v>
      </c>
      <c r="T79" s="225">
        <f ca="1">IF(100*(Design!$C$28+S79+R79*IF(ISBLANK(Design!$B$40),Constants!$C$6,Design!$B$40)/1000*(1+Constants!$C$31/100*(AC79-25)))/($B79+S79-R79*AD79/1000)&gt;Design!$C$35,Design!$C$35,100*(Design!$C$28+S79+R79*IF(ISBLANK(Design!$B$40),Constants!$C$6,Design!$B$40)/1000*(1+Constants!$C$31/100*(AC79-25)))/($B79+S79-R79*AD79/1000))</f>
        <v>68.116809342547555</v>
      </c>
      <c r="U79" s="160">
        <f ca="1">IF(($B79-R79*IF(ISBLANK(Design!$B$40),Constants!$C$6,Design!$B$40)/1000*(1+Constants!$C$31/100*(AC79-25))-Design!$C$28)/(IF(ISBLANK(Design!$B$39),Design!$B$38,Design!$B$39)/1000000)*T79/100/(IF(ISBLANK(Design!$B$32),Design!$B$31,Design!$B$32)*1000000)&lt;0,0,($B79-R79*IF(ISBLANK(Design!$B$40),Constants!$C$6,Design!$B$40)/1000*(1+Constants!$C$31/100*(AC79-25))-Design!$C$28)/(IF(ISBLANK(Design!$B$39),Design!$B$38,Design!$B$39)/1000000)*T79/100/(IF(ISBLANK(Design!$B$32),Design!$B$31,Design!$B$32)*1000000))</f>
        <v>0.3180778483405452</v>
      </c>
      <c r="V79" s="226">
        <f>$B79*Constants!$C$18/1000+IF(ISBLANK(Design!$B$32),Design!$B$31,Design!$B$32)*1000000*Constants!$D$22/1000000000*($B79-Constants!$C$21)</f>
        <v>2.0720000000000006E-2</v>
      </c>
      <c r="W79" s="226">
        <f>$B79*R79*($B79/(Constants!$C$23*1000000000)*IF(ISBLANK(Design!$B$32),Design!$B$31,Design!$B$32)*1000000/2+$B79/(Constants!$C$24*1000000000)*IF(ISBLANK(Design!$B$32),Design!$B$31,Design!$B$32)*1000000/2)</f>
        <v>8.3502409356725163E-2</v>
      </c>
      <c r="X79" s="226">
        <f t="shared" ca="1" si="14"/>
        <v>0.45636406295007526</v>
      </c>
      <c r="Y79" s="226">
        <f>Constants!$D$22/1000000000*Constants!$C$21*IF(ISBLANK(Design!$B$32),Design!$B$31,Design!$B$32)*1000000</f>
        <v>4.9999999999999996E-2</v>
      </c>
      <c r="Z79" s="226">
        <f t="shared" ca="1" si="23"/>
        <v>0.61058647230680041</v>
      </c>
      <c r="AA79" s="226">
        <f t="shared" ca="1" si="19"/>
        <v>0.29141845952362405</v>
      </c>
      <c r="AB79" s="227">
        <f ca="1">$A79+AA79*Design!$B$19</f>
        <v>101.61085219284658</v>
      </c>
      <c r="AC79" s="227">
        <f ca="1">Z79*Design!$C$12+$A79</f>
        <v>105.75994005843121</v>
      </c>
      <c r="AD79" s="227">
        <f ca="1">Constants!$D$19+Constants!$D$19*Constants!$C$20/100*(AC79-25)</f>
        <v>122.86595292629075</v>
      </c>
      <c r="AE79" s="226">
        <f ca="1">(1-Constants!$D$17/1000000000*Design!$B$32*1000000) * ($B79+S79-R79*AD79/1000) - (S79+R79*(1+($A79-25)*Constants!$C$31/100)*IF(ISBLANK(Design!$B$40),Constants!$C$6/1000,Design!$B$40/1000))</f>
        <v>3.7648336480036613</v>
      </c>
      <c r="AF79" s="160">
        <f ca="1">IF(AE79&gt;Design!$C$28,Design!$C$28,AE79)</f>
        <v>3.3239005736137672</v>
      </c>
      <c r="AG79" s="161">
        <f>Design!$D$6/3</f>
        <v>1.1666666666666667</v>
      </c>
      <c r="AH79" s="161">
        <f ca="1">FORECAST(AG79, OFFSET(Design!$C$15:$C$17,MATCH(AG79,Design!$B$15:$B$17,1)-1,0,2), OFFSET(Design!$B$15:$B$17,MATCH(AG79,Design!$B$15:$B$17,1)-1,0,2))+(AQ79-25)*Design!$B$18/1000</f>
        <v>0.32763674644426061</v>
      </c>
      <c r="AI79" s="239">
        <f ca="1">IF(100*(Design!$C$28+AH79+AG79*IF(ISBLANK(Design!$B$40),Constants!$C$6,Design!$B$40)/1000*(1+Constants!$C$31/100*(AR79-25)))/($B79+AH79-AG79*AS79/1000)&gt;Design!$C$35,Design!$C$35,100*(Design!$C$28+AH79+AG79*IF(ISBLANK(Design!$B$40),Constants!$C$6,Design!$B$40)/1000*(1+Constants!$C$31/100*(AR79-25)))/($B79+AH79-AG79*AS79/1000))</f>
        <v>65.354814977783377</v>
      </c>
      <c r="AJ79" s="162">
        <f ca="1">IF(($B79-AG79*IF(ISBLANK(Design!$B$40),Constants!$C$6,Design!$B$40)/1000*(1+Constants!$C$31/100*(AR79-25))-Design!$C$28)/(IF(ISBLANK(Design!$B$39),Design!$B$38,Design!$B$39)/1000000)*AI79/100/(IF(ISBLANK(Design!$B$32),Design!$B$31,Design!$B$32)*1000000)&lt;0,0,($B79-AG79*IF(ISBLANK(Design!$B$40),Constants!$C$6,Design!$B$40)/1000*(1+Constants!$C$31/100*(AR79-25))-Design!$C$28)/(IF(ISBLANK(Design!$B$39),Design!$B$38,Design!$B$39)/1000000)*AI79/100/(IF(ISBLANK(Design!$B$32),Design!$B$31,Design!$B$32)*1000000))</f>
        <v>0.3099288798536276</v>
      </c>
      <c r="AK79" s="240">
        <f>$B79*Constants!$C$18/1000+IF(ISBLANK(Design!$B$32),Design!$B$31,Design!$B$32)*1000000*Constants!$D$22/1000000000*($B79-Constants!$C$21)</f>
        <v>2.0720000000000006E-2</v>
      </c>
      <c r="AL79" s="240">
        <f>$B79*AG79*($B79/(Constants!$C$23*1000000000)*IF(ISBLANK(Design!$B$32),Design!$B$31,Design!$B$32)*1000000/2+$B79/(Constants!$C$24*1000000000)*IF(ISBLANK(Design!$B$32),Design!$B$31,Design!$B$32)*1000000/2)</f>
        <v>4.1751204678362581E-2</v>
      </c>
      <c r="AM79" s="240">
        <f t="shared" ca="1" si="15"/>
        <v>0.10371830617150832</v>
      </c>
      <c r="AN79" s="240">
        <f>Constants!$D$22/1000000000*Constants!$C$21*IF(ISBLANK(Design!$B$32),Design!$B$31,Design!$B$32)*1000000</f>
        <v>4.9999999999999996E-2</v>
      </c>
      <c r="AO79" s="240">
        <f t="shared" ca="1" si="24"/>
        <v>0.2161895108498709</v>
      </c>
      <c r="AP79" s="240">
        <f t="shared" ca="1" si="21"/>
        <v>0.13242874984078229</v>
      </c>
      <c r="AQ79" s="241">
        <f ca="1">$A79+AP79*Design!$B$19</f>
        <v>92.548438740924595</v>
      </c>
      <c r="AR79" s="241">
        <f ca="1">AO79*Design!$C$12+$A79</f>
        <v>92.350443368895611</v>
      </c>
      <c r="AS79" s="241">
        <f ca="1">Constants!$D$19+Constants!$D$19*Constants!$C$20/100*(AR79-25)</f>
        <v>115.91446984243549</v>
      </c>
      <c r="AT79" s="240">
        <f ca="1">(1-Constants!$D$17/1000000000*Design!$B$32*1000000) * ($B79+AH79-AG79*AS79/1000) - (AH79+AG79*(1+($A79-25)*Constants!$C$31/100)*IF(ISBLANK(Design!$B$40),Constants!$C$6/1000,Design!$B$40/1000))</f>
        <v>3.9241543509264178</v>
      </c>
      <c r="AU79" s="162">
        <f ca="1">IF(AT79&gt;Design!$C$28,Design!$C$28,AT79)</f>
        <v>3.3239005736137672</v>
      </c>
    </row>
    <row r="80" spans="1:47" ht="12.75" customHeight="1">
      <c r="A80" s="155">
        <f>Design!$D$13</f>
        <v>85</v>
      </c>
      <c r="B80" s="156">
        <f t="shared" si="12"/>
        <v>5.2350000000000003</v>
      </c>
      <c r="C80" s="157">
        <f>Design!$D$6</f>
        <v>3.5</v>
      </c>
      <c r="D80" s="157">
        <f ca="1">FORECAST(C80, OFFSET(Design!$C$15:$C$17,MATCH(C80,Design!$B$15:$B$17,1)-1,0,2), OFFSET(Design!$B$15:$B$17,MATCH(C80,Design!$B$15:$B$17,1)-1,0,2))+(M80-25)*Design!$B$18/1000</f>
        <v>0.4161392618550272</v>
      </c>
      <c r="E80" s="216">
        <f ca="1">IF(100*(Design!$C$28+D80+C80*IF(ISBLANK(Design!$B$40),Constants!$C$6,Design!$B$40)/1000*(1+Constants!$C$31/100*(N80-25)))/($B80+D80-C80*O80/1000)&gt;Design!$C$35,Design!$C$35,100*(Design!$C$28+D80+C80*IF(ISBLANK(Design!$B$40),Constants!$C$6,Design!$B$40)/1000*(1+Constants!$C$31/100*(N80-25)))/($B80+D80-C80*O80/1000))</f>
        <v>74.270303486760525</v>
      </c>
      <c r="F80" s="158">
        <f ca="1">IF(($B80-C80*IF(ISBLANK(Design!$B$40),Constants!$C$6,Design!$B$40)/1000*(1+Constants!$C$31/100*(N80-25))-Design!$C$28)/(IF(ISBLANK(Design!$B$39),Design!$B$38,Design!$B$39)/1000000)*E80/100/(IF(ISBLANK(Design!$B$32),Design!$B$31,Design!$B$32)*1000000)&lt;0,0,($B80-C80*IF(ISBLANK(Design!$B$40),Constants!$C$6,Design!$B$40)/1000*(1+Constants!$C$31/100*(N80-25))-Design!$C$28)/(IF(ISBLANK(Design!$B$39),Design!$B$38,Design!$B$39)/1000000)*E80/100/(IF(ISBLANK(Design!$B$32),Design!$B$31,Design!$B$32)*1000000))</f>
        <v>0.30571893451227111</v>
      </c>
      <c r="G80" s="208">
        <f>B80*Constants!$C$18/1000+IF(ISBLANK(Design!$B$32),Design!$B$31,Design!$B$32)*1000000*Constants!$D$22/1000000000*(B80-Constants!$C$21)</f>
        <v>1.8055000000000002E-2</v>
      </c>
      <c r="H80" s="208">
        <f>B80*C80*(B80/(Constants!$C$23*1000000000)*IF(ISBLANK(Design!$B$32),Design!$B$31,Design!$B$32)*1000000/2+B80/(Constants!$C$24*1000000000)*IF(ISBLANK(Design!$B$32),Design!$B$31,Design!$B$32)*1000000/2)</f>
        <v>0.11599141282894739</v>
      </c>
      <c r="I80" s="208">
        <f t="shared" ca="1" si="13"/>
        <v>1.2508250934294896</v>
      </c>
      <c r="J80" s="208">
        <f>Constants!$D$22/1000000000*Constants!$C$21*IF(ISBLANK(Design!$B$32),Design!$B$31,Design!$B$32)*1000000</f>
        <v>4.9999999999999996E-2</v>
      </c>
      <c r="K80" s="208">
        <f t="shared" ca="1" si="22"/>
        <v>1.434871506258437</v>
      </c>
      <c r="L80" s="208">
        <f t="shared" ca="1" si="17"/>
        <v>0.37474979201706698</v>
      </c>
      <c r="M80" s="209">
        <f ca="1">$A80+L80*Design!$B$19</f>
        <v>106.36073814497281</v>
      </c>
      <c r="N80" s="209">
        <f ca="1">K80*Design!$C$12+A80</f>
        <v>133.78563121278685</v>
      </c>
      <c r="O80" s="209">
        <f ca="1">Constants!$D$19+Constants!$D$19*Constants!$C$20/100*(N80-25)</f>
        <v>137.39447122070871</v>
      </c>
      <c r="P80" s="208">
        <f ca="1">(1-Constants!$D$17/1000000000*Design!$B$32*1000000) * ($B80+D80-C80*O80/1000) - (D80+C80*(1+($A80-25)*Constants!$C$31/100)*IF(ISBLANK(Design!$B$40),Constants!$C$6/1000,Design!$B$40/1000))</f>
        <v>3.4267512837077083</v>
      </c>
      <c r="Q80" s="158">
        <f ca="1">IF(P80&gt;Design!$C$28,Design!$C$28,P80)</f>
        <v>3.3239005736137672</v>
      </c>
      <c r="R80" s="159">
        <f>2*Design!$D$6/3</f>
        <v>2.3333333333333335</v>
      </c>
      <c r="S80" s="159">
        <f ca="1">FORECAST(R80, OFFSET(Design!$C$15:$C$17,MATCH(R80,Design!$B$15:$B$17,1)-1,0,2), OFFSET(Design!$B$15:$B$17,MATCH(R80,Design!$B$15:$B$17,1)-1,0,2))+(AB80-25)*Design!$B$18/1000</f>
        <v>0.39304053528794441</v>
      </c>
      <c r="T80" s="225">
        <f ca="1">IF(100*(Design!$C$28+S80+R80*IF(ISBLANK(Design!$B$40),Constants!$C$6,Design!$B$40)/1000*(1+Constants!$C$31/100*(AC80-25)))/($B80+S80-R80*AD80/1000)&gt;Design!$C$35,Design!$C$35,100*(Design!$C$28+S80+R80*IF(ISBLANK(Design!$B$40),Constants!$C$6,Design!$B$40)/1000*(1+Constants!$C$31/100*(AC80-25)))/($B80+S80-R80*AD80/1000))</f>
        <v>70.745143661567852</v>
      </c>
      <c r="U80" s="160">
        <f ca="1">IF(($B80-R80*IF(ISBLANK(Design!$B$40),Constants!$C$6,Design!$B$40)/1000*(1+Constants!$C$31/100*(AC80-25))-Design!$C$28)/(IF(ISBLANK(Design!$B$39),Design!$B$38,Design!$B$39)/1000000)*T80/100/(IF(ISBLANK(Design!$B$32),Design!$B$31,Design!$B$32)*1000000)&lt;0,0,($B80-R80*IF(ISBLANK(Design!$B$40),Constants!$C$6,Design!$B$40)/1000*(1+Constants!$C$31/100*(AC80-25))-Design!$C$28)/(IF(ISBLANK(Design!$B$39),Design!$B$38,Design!$B$39)/1000000)*T80/100/(IF(ISBLANK(Design!$B$32),Design!$B$31,Design!$B$32)*1000000))</f>
        <v>0.29738096306310857</v>
      </c>
      <c r="V80" s="226">
        <f>$B80*Constants!$C$18/1000+IF(ISBLANK(Design!$B$32),Design!$B$31,Design!$B$32)*1000000*Constants!$D$22/1000000000*($B80-Constants!$C$21)</f>
        <v>1.8055000000000002E-2</v>
      </c>
      <c r="W80" s="226">
        <f>$B80*R80*($B80/(Constants!$C$23*1000000000)*IF(ISBLANK(Design!$B$32),Design!$B$31,Design!$B$32)*1000000/2+$B80/(Constants!$C$24*1000000000)*IF(ISBLANK(Design!$B$32),Design!$B$31,Design!$B$32)*1000000/2)</f>
        <v>7.7327608552631599E-2</v>
      </c>
      <c r="X80" s="226">
        <f t="shared" ca="1" si="14"/>
        <v>0.47451380951107147</v>
      </c>
      <c r="Y80" s="226">
        <f>Constants!$D$22/1000000000*Constants!$C$21*IF(ISBLANK(Design!$B$32),Design!$B$31,Design!$B$32)*1000000</f>
        <v>4.9999999999999996E-2</v>
      </c>
      <c r="Z80" s="226">
        <f t="shared" ca="1" si="23"/>
        <v>0.6198964180637031</v>
      </c>
      <c r="AA80" s="226">
        <f t="shared" ca="1" si="19"/>
        <v>0.26829470255068333</v>
      </c>
      <c r="AB80" s="227">
        <f ca="1">$A80+AA80*Design!$B$19</f>
        <v>100.29279804538895</v>
      </c>
      <c r="AC80" s="227">
        <f ca="1">Z80*Design!$C$12+$A80</f>
        <v>106.0764782141659</v>
      </c>
      <c r="AD80" s="227">
        <f ca="1">Constants!$D$19+Constants!$D$19*Constants!$C$20/100*(AC80-25)</f>
        <v>123.03004630622361</v>
      </c>
      <c r="AE80" s="226">
        <f ca="1">(1-Constants!$D$17/1000000000*Design!$B$32*1000000) * ($B80+S80-R80*AD80/1000) - (S80+R80*(1+($A80-25)*Constants!$C$31/100)*IF(ISBLANK(Design!$B$40),Constants!$C$6/1000,Design!$B$40/1000))</f>
        <v>3.6084263227478575</v>
      </c>
      <c r="AF80" s="160">
        <f ca="1">IF(AE80&gt;Design!$C$28,Design!$C$28,AE80)</f>
        <v>3.3239005736137672</v>
      </c>
      <c r="AG80" s="161">
        <f>Design!$D$6/3</f>
        <v>1.1666666666666667</v>
      </c>
      <c r="AH80" s="161">
        <f ca="1">FORECAST(AG80, OFFSET(Design!$C$15:$C$17,MATCH(AG80,Design!$B$15:$B$17,1)-1,0,2), OFFSET(Design!$B$15:$B$17,MATCH(AG80,Design!$B$15:$B$17,1)-1,0,2))+(AQ80-25)*Design!$B$18/1000</f>
        <v>0.32816385699766559</v>
      </c>
      <c r="AI80" s="239">
        <f ca="1">IF(100*(Design!$C$28+AH80+AG80*IF(ISBLANK(Design!$B$40),Constants!$C$6,Design!$B$40)/1000*(1+Constants!$C$31/100*(AR80-25)))/($B80+AH80-AG80*AS80/1000)&gt;Design!$C$35,Design!$C$35,100*(Design!$C$28+AH80+AG80*IF(ISBLANK(Design!$B$40),Constants!$C$6,Design!$B$40)/1000*(1+Constants!$C$31/100*(AR80-25)))/($B80+AH80-AG80*AS80/1000))</f>
        <v>67.825864955066294</v>
      </c>
      <c r="AJ80" s="162">
        <f ca="1">IF(($B80-AG80*IF(ISBLANK(Design!$B$40),Constants!$C$6,Design!$B$40)/1000*(1+Constants!$C$31/100*(AR80-25))-Design!$C$28)/(IF(ISBLANK(Design!$B$39),Design!$B$38,Design!$B$39)/1000000)*AI80/100/(IF(ISBLANK(Design!$B$32),Design!$B$31,Design!$B$32)*1000000)&lt;0,0,($B80-AG80*IF(ISBLANK(Design!$B$40),Constants!$C$6,Design!$B$40)/1000*(1+Constants!$C$31/100*(AR80-25))-Design!$C$28)/(IF(ISBLANK(Design!$B$39),Design!$B$38,Design!$B$39)/1000000)*AI80/100/(IF(ISBLANK(Design!$B$32),Design!$B$31,Design!$B$32)*1000000))</f>
        <v>0.29004746257878583</v>
      </c>
      <c r="AK80" s="240">
        <f>$B80*Constants!$C$18/1000+IF(ISBLANK(Design!$B$32),Design!$B$31,Design!$B$32)*1000000*Constants!$D$22/1000000000*($B80-Constants!$C$21)</f>
        <v>1.8055000000000002E-2</v>
      </c>
      <c r="AL80" s="240">
        <f>$B80*AG80*($B80/(Constants!$C$23*1000000000)*IF(ISBLANK(Design!$B$32),Design!$B$31,Design!$B$32)*1000000/2+$B80/(Constants!$C$24*1000000000)*IF(ISBLANK(Design!$B$32),Design!$B$31,Design!$B$32)*1000000/2)</f>
        <v>3.86638042763158E-2</v>
      </c>
      <c r="AM80" s="240">
        <f t="shared" ca="1" si="15"/>
        <v>0.10752997825104306</v>
      </c>
      <c r="AN80" s="240">
        <f>Constants!$D$22/1000000000*Constants!$C$21*IF(ISBLANK(Design!$B$32),Design!$B$31,Design!$B$32)*1000000</f>
        <v>4.9999999999999996E-2</v>
      </c>
      <c r="AO80" s="240">
        <f t="shared" ca="1" si="24"/>
        <v>0.21424878252735885</v>
      </c>
      <c r="AP80" s="240">
        <f t="shared" ca="1" si="21"/>
        <v>0.12318119627227407</v>
      </c>
      <c r="AQ80" s="241">
        <f ca="1">$A80+AP80*Design!$B$19</f>
        <v>92.021328187519629</v>
      </c>
      <c r="AR80" s="241">
        <f ca="1">AO80*Design!$C$12+$A80</f>
        <v>92.284458605930197</v>
      </c>
      <c r="AS80" s="241">
        <f ca="1">Constants!$D$19+Constants!$D$19*Constants!$C$20/100*(AR80-25)</f>
        <v>115.88026334131422</v>
      </c>
      <c r="AT80" s="240">
        <f ca="1">(1-Constants!$D$17/1000000000*Design!$B$32*1000000) * ($B80+AH80-AG80*AS80/1000) - (AH80+AG80*(1+($A80-25)*Constants!$C$31/100)*IF(ISBLANK(Design!$B$40),Constants!$C$6/1000,Design!$B$40/1000))</f>
        <v>3.7682581741579284</v>
      </c>
      <c r="AU80" s="162">
        <f ca="1">IF(AT80&gt;Design!$C$28,Design!$C$28,AT80)</f>
        <v>3.3239005736137672</v>
      </c>
    </row>
    <row r="81" spans="1:47" ht="12.75" customHeight="1">
      <c r="A81" s="155">
        <f>Design!$D$13</f>
        <v>85</v>
      </c>
      <c r="B81" s="156">
        <f t="shared" si="12"/>
        <v>5.03</v>
      </c>
      <c r="C81" s="157">
        <f>Design!$D$6</f>
        <v>3.5</v>
      </c>
      <c r="D81" s="157">
        <f ca="1">FORECAST(C81, OFFSET(Design!$C$15:$C$17,MATCH(C81,Design!$B$15:$B$17,1)-1,0,2), OFFSET(Design!$B$15:$B$17,MATCH(C81,Design!$B$15:$B$17,1)-1,0,2))+(M81-25)*Design!$B$18/1000</f>
        <v>0.4186292530915201</v>
      </c>
      <c r="E81" s="216">
        <f ca="1">IF(100*(Design!$C$28+D81+C81*IF(ISBLANK(Design!$B$40),Constants!$C$6,Design!$B$40)/1000*(1+Constants!$C$31/100*(N81-25)))/($B81+D81-C81*O81/1000)&gt;Design!$C$35,Design!$C$35,100*(Design!$C$28+D81+C81*IF(ISBLANK(Design!$B$40),Constants!$C$6,Design!$B$40)/1000*(1+Constants!$C$31/100*(N81-25)))/($B81+D81-C81*O81/1000))</f>
        <v>77.404777767193153</v>
      </c>
      <c r="F81" s="158">
        <f ca="1">IF(($B81-C81*IF(ISBLANK(Design!$B$40),Constants!$C$6,Design!$B$40)/1000*(1+Constants!$C$31/100*(N81-25))-Design!$C$28)/(IF(ISBLANK(Design!$B$39),Design!$B$38,Design!$B$39)/1000000)*E81/100/(IF(ISBLANK(Design!$B$32),Design!$B$31,Design!$B$32)*1000000)&lt;0,0,($B81-C81*IF(ISBLANK(Design!$B$40),Constants!$C$6,Design!$B$40)/1000*(1+Constants!$C$31/100*(N81-25))-Design!$C$28)/(IF(ISBLANK(Design!$B$39),Design!$B$38,Design!$B$39)/1000000)*E81/100/(IF(ISBLANK(Design!$B$32),Design!$B$31,Design!$B$32)*1000000))</f>
        <v>0.28247658410703247</v>
      </c>
      <c r="G81" s="208">
        <f>B81*Constants!$C$18/1000+IF(ISBLANK(Design!$B$32),Design!$B$31,Design!$B$32)*1000000*Constants!$D$22/1000000000*(B81-Constants!$C$21)</f>
        <v>1.5390000000000001E-2</v>
      </c>
      <c r="H81" s="208">
        <f>B81*C81*(B81/(Constants!$C$23*1000000000)*IF(ISBLANK(Design!$B$32),Design!$B$31,Design!$B$32)*1000000/2+B81/(Constants!$C$24*1000000000)*IF(ISBLANK(Design!$B$32),Design!$B$31,Design!$B$32)*1000000/2)</f>
        <v>0.10708494956140352</v>
      </c>
      <c r="I81" s="208">
        <f t="shared" ca="1" si="13"/>
        <v>1.311745256288271</v>
      </c>
      <c r="J81" s="208">
        <f>Constants!$D$22/1000000000*Constants!$C$21*IF(ISBLANK(Design!$B$32),Design!$B$31,Design!$B$32)*1000000</f>
        <v>4.9999999999999996E-2</v>
      </c>
      <c r="K81" s="208">
        <f t="shared" ca="1" si="22"/>
        <v>1.4842202058496745</v>
      </c>
      <c r="L81" s="208">
        <f t="shared" ca="1" si="17"/>
        <v>0.3310657352364893</v>
      </c>
      <c r="M81" s="209">
        <f ca="1">$A81+L81*Design!$B$19</f>
        <v>103.87074690847989</v>
      </c>
      <c r="N81" s="209">
        <f ca="1">K81*Design!$C$12+A81</f>
        <v>135.46348699888892</v>
      </c>
      <c r="O81" s="209">
        <f ca="1">Constants!$D$19+Constants!$D$19*Constants!$C$20/100*(N81-25)</f>
        <v>138.26427166022404</v>
      </c>
      <c r="P81" s="208">
        <f ca="1">(1-Constants!$D$17/1000000000*Design!$B$32*1000000) * ($B81+D81-C81*O81/1000) - (D81+C81*(1+($A81-25)*Constants!$C$31/100)*IF(ISBLANK(Design!$B$40),Constants!$C$6/1000,Design!$B$40/1000))</f>
        <v>3.26804001664184</v>
      </c>
      <c r="Q81" s="158">
        <f ca="1">IF(P81&gt;Design!$C$28,Design!$C$28,P81)</f>
        <v>3.26804001664184</v>
      </c>
      <c r="R81" s="159">
        <f>2*Design!$D$6/3</f>
        <v>2.3333333333333335</v>
      </c>
      <c r="S81" s="159">
        <f ca="1">FORECAST(R81, OFFSET(Design!$C$15:$C$17,MATCH(R81,Design!$B$15:$B$17,1)-1,0,2), OFFSET(Design!$B$15:$B$17,MATCH(R81,Design!$B$15:$B$17,1)-1,0,2))+(AB81-25)*Design!$B$18/1000</f>
        <v>0.39447425768678968</v>
      </c>
      <c r="T81" s="225">
        <f ca="1">IF(100*(Design!$C$28+S81+R81*IF(ISBLANK(Design!$B$40),Constants!$C$6,Design!$B$40)/1000*(1+Constants!$C$31/100*(AC81-25)))/($B81+S81-R81*AD81/1000)&gt;Design!$C$35,Design!$C$35,100*(Design!$C$28+S81+R81*IF(ISBLANK(Design!$B$40),Constants!$C$6,Design!$B$40)/1000*(1+Constants!$C$31/100*(AC81-25)))/($B81+S81-R81*AD81/1000))</f>
        <v>73.584188509319816</v>
      </c>
      <c r="U81" s="160">
        <f ca="1">IF(($B81-R81*IF(ISBLANK(Design!$B$40),Constants!$C$6,Design!$B$40)/1000*(1+Constants!$C$31/100*(AC81-25))-Design!$C$28)/(IF(ISBLANK(Design!$B$39),Design!$B$38,Design!$B$39)/1000000)*T81/100/(IF(ISBLANK(Design!$B$32),Design!$B$31,Design!$B$32)*1000000)&lt;0,0,($B81-R81*IF(ISBLANK(Design!$B$40),Constants!$C$6,Design!$B$40)/1000*(1+Constants!$C$31/100*(AC81-25))-Design!$C$28)/(IF(ISBLANK(Design!$B$39),Design!$B$38,Design!$B$39)/1000000)*T81/100/(IF(ISBLANK(Design!$B$32),Design!$B$31,Design!$B$32)*1000000))</f>
        <v>0.27501988949471312</v>
      </c>
      <c r="V81" s="226">
        <f>$B81*Constants!$C$18/1000+IF(ISBLANK(Design!$B$32),Design!$B$31,Design!$B$32)*1000000*Constants!$D$22/1000000000*($B81-Constants!$C$21)</f>
        <v>1.5390000000000001E-2</v>
      </c>
      <c r="W81" s="226">
        <f>$B81*R81*($B81/(Constants!$C$23*1000000000)*IF(ISBLANK(Design!$B$32),Design!$B$31,Design!$B$32)*1000000/2+$B81/(Constants!$C$24*1000000000)*IF(ISBLANK(Design!$B$32),Design!$B$31,Design!$B$32)*1000000/2)</f>
        <v>7.1389966374269018E-2</v>
      </c>
      <c r="X81" s="226">
        <f t="shared" ca="1" si="14"/>
        <v>0.49424660848913182</v>
      </c>
      <c r="Y81" s="226">
        <f>Constants!$D$22/1000000000*Constants!$C$21*IF(ISBLANK(Design!$B$32),Design!$B$31,Design!$B$32)*1000000</f>
        <v>4.9999999999999996E-2</v>
      </c>
      <c r="Z81" s="226">
        <f t="shared" ca="1" si="23"/>
        <v>0.63102657486340086</v>
      </c>
      <c r="AA81" s="226">
        <f t="shared" ca="1" si="19"/>
        <v>0.24314167800953884</v>
      </c>
      <c r="AB81" s="227">
        <f ca="1">$A81+AA81*Design!$B$19</f>
        <v>98.859075646543715</v>
      </c>
      <c r="AC81" s="227">
        <f ca="1">Z81*Design!$C$12+$A81</f>
        <v>106.45490354535563</v>
      </c>
      <c r="AD81" s="227">
        <f ca="1">Constants!$D$19+Constants!$D$19*Constants!$C$20/100*(AC81-25)</f>
        <v>123.22622199791238</v>
      </c>
      <c r="AE81" s="226">
        <f ca="1">(1-Constants!$D$17/1000000000*Design!$B$32*1000000) * ($B81+S81-R81*AD81/1000) - (S81+R81*(1+($A81-25)*Constants!$C$31/100)*IF(ISBLANK(Design!$B$40),Constants!$C$6/1000,Design!$B$40/1000))</f>
        <v>3.4519343444788735</v>
      </c>
      <c r="AF81" s="160">
        <f ca="1">IF(AE81&gt;Design!$C$28,Design!$C$28,AE81)</f>
        <v>3.3239005736137672</v>
      </c>
      <c r="AG81" s="161">
        <f>Design!$D$6/3</f>
        <v>1.1666666666666667</v>
      </c>
      <c r="AH81" s="161">
        <f ca="1">FORECAST(AG81, OFFSET(Design!$C$15:$C$17,MATCH(AG81,Design!$B$15:$B$17,1)-1,0,2), OFFSET(Design!$B$15:$B$17,MATCH(AG81,Design!$B$15:$B$17,1)-1,0,2))+(AQ81-25)*Design!$B$18/1000</f>
        <v>0.32873421323625801</v>
      </c>
      <c r="AI81" s="239">
        <f ca="1">IF(100*(Design!$C$28+AH81+AG81*IF(ISBLANK(Design!$B$40),Constants!$C$6,Design!$B$40)/1000*(1+Constants!$C$31/100*(AR81-25)))/($B81+AH81-AG81*AS81/1000)&gt;Design!$C$35,Design!$C$35,100*(Design!$C$28+AH81+AG81*IF(ISBLANK(Design!$B$40),Constants!$C$6,Design!$B$40)/1000*(1+Constants!$C$31/100*(AR81-25)))/($B81+AH81-AG81*AS81/1000))</f>
        <v>70.490720749339587</v>
      </c>
      <c r="AJ81" s="162">
        <f ca="1">IF(($B81-AG81*IF(ISBLANK(Design!$B$40),Constants!$C$6,Design!$B$40)/1000*(1+Constants!$C$31/100*(AR81-25))-Design!$C$28)/(IF(ISBLANK(Design!$B$39),Design!$B$38,Design!$B$39)/1000000)*AI81/100/(IF(ISBLANK(Design!$B$32),Design!$B$31,Design!$B$32)*1000000)&lt;0,0,($B81-AG81*IF(ISBLANK(Design!$B$40),Constants!$C$6,Design!$B$40)/1000*(1+Constants!$C$31/100*(AR81-25))-Design!$C$28)/(IF(ISBLANK(Design!$B$39),Design!$B$38,Design!$B$39)/1000000)*AI81/100/(IF(ISBLANK(Design!$B$32),Design!$B$31,Design!$B$32)*1000000))</f>
        <v>0.26860182118509968</v>
      </c>
      <c r="AK81" s="240">
        <f>$B81*Constants!$C$18/1000+IF(ISBLANK(Design!$B$32),Design!$B$31,Design!$B$32)*1000000*Constants!$D$22/1000000000*($B81-Constants!$C$21)</f>
        <v>1.5390000000000001E-2</v>
      </c>
      <c r="AL81" s="240">
        <f>$B81*AG81*($B81/(Constants!$C$23*1000000000)*IF(ISBLANK(Design!$B$32),Design!$B$31,Design!$B$32)*1000000/2+$B81/(Constants!$C$24*1000000000)*IF(ISBLANK(Design!$B$32),Design!$B$31,Design!$B$32)*1000000/2)</f>
        <v>3.5694983187134509E-2</v>
      </c>
      <c r="AM81" s="240">
        <f t="shared" ca="1" si="15"/>
        <v>0.11164748716774313</v>
      </c>
      <c r="AN81" s="240">
        <f>Constants!$D$22/1000000000*Constants!$C$21*IF(ISBLANK(Design!$B$32),Design!$B$31,Design!$B$32)*1000000</f>
        <v>4.9999999999999996E-2</v>
      </c>
      <c r="AO81" s="240">
        <f t="shared" ca="1" si="24"/>
        <v>0.21273247035487763</v>
      </c>
      <c r="AP81" s="240">
        <f t="shared" ca="1" si="21"/>
        <v>0.113174946472407</v>
      </c>
      <c r="AQ81" s="241">
        <f ca="1">$A81+AP81*Design!$B$19</f>
        <v>91.450971948927204</v>
      </c>
      <c r="AR81" s="241">
        <f ca="1">AO81*Design!$C$12+$A81</f>
        <v>92.232903992065843</v>
      </c>
      <c r="AS81" s="241">
        <f ca="1">Constants!$D$19+Constants!$D$19*Constants!$C$20/100*(AR81-25)</f>
        <v>115.85353742948695</v>
      </c>
      <c r="AT81" s="240">
        <f ca="1">(1-Constants!$D$17/1000000000*Design!$B$32*1000000) * ($B81+AH81-AG81*AS81/1000) - (AH81+AG81*(1+($A81-25)*Constants!$C$31/100)*IF(ISBLANK(Design!$B$40),Constants!$C$6/1000,Design!$B$40/1000))</f>
        <v>3.6123449856358203</v>
      </c>
      <c r="AU81" s="162">
        <f ca="1">IF(AT81&gt;Design!$C$28,Design!$C$28,AT81)</f>
        <v>3.3239005736137672</v>
      </c>
    </row>
    <row r="82" spans="1:47" ht="12.75" customHeight="1">
      <c r="A82" s="155">
        <f>Design!$D$13</f>
        <v>85</v>
      </c>
      <c r="B82" s="156">
        <f t="shared" si="12"/>
        <v>4.8250000000000002</v>
      </c>
      <c r="C82" s="157">
        <f>Design!$D$6</f>
        <v>3.5</v>
      </c>
      <c r="D82" s="157">
        <f ca="1">FORECAST(C82, OFFSET(Design!$C$15:$C$17,MATCH(C82,Design!$B$15:$B$17,1)-1,0,2), OFFSET(Design!$B$15:$B$17,MATCH(C82,Design!$B$15:$B$17,1)-1,0,2))+(M82-25)*Design!$B$18/1000</f>
        <v>0.42137624033081217</v>
      </c>
      <c r="E82" s="216">
        <f ca="1">IF(100*(Design!$C$28+D82+C82*IF(ISBLANK(Design!$B$40),Constants!$C$6,Design!$B$40)/1000*(1+Constants!$C$31/100*(N82-25)))/($B82+D82-C82*O82/1000)&gt;Design!$C$35,Design!$C$35,100*(Design!$C$28+D82+C82*IF(ISBLANK(Design!$B$40),Constants!$C$6,Design!$B$40)/1000*(1+Constants!$C$31/100*(N82-25)))/($B82+D82-C82*O82/1000))</f>
        <v>80.819789362430825</v>
      </c>
      <c r="F82" s="158">
        <f ca="1">IF(($B82-C82*IF(ISBLANK(Design!$B$40),Constants!$C$6,Design!$B$40)/1000*(1+Constants!$C$31/100*(N82-25))-Design!$C$28)/(IF(ISBLANK(Design!$B$39),Design!$B$38,Design!$B$39)/1000000)*E82/100/(IF(ISBLANK(Design!$B$32),Design!$B$31,Design!$B$32)*1000000)&lt;0,0,($B82-C82*IF(ISBLANK(Design!$B$40),Constants!$C$6,Design!$B$40)/1000*(1+Constants!$C$31/100*(N82-25))-Design!$C$28)/(IF(ISBLANK(Design!$B$39),Design!$B$38,Design!$B$39)/1000000)*E82/100/(IF(ISBLANK(Design!$B$32),Design!$B$31,Design!$B$32)*1000000))</f>
        <v>0.25718761000288665</v>
      </c>
      <c r="G82" s="208">
        <f>B82*Constants!$C$18/1000+IF(ISBLANK(Design!$B$32),Design!$B$31,Design!$B$32)*1000000*Constants!$D$22/1000000000*(B82-Constants!$C$21)</f>
        <v>1.2725000000000004E-2</v>
      </c>
      <c r="H82" s="208">
        <f>B82*C82*(B82/(Constants!$C$23*1000000000)*IF(ISBLANK(Design!$B$32),Design!$B$31,Design!$B$32)*1000000/2+B82/(Constants!$C$24*1000000000)*IF(ISBLANK(Design!$B$32),Design!$B$31,Design!$B$32)*1000000/2)</f>
        <v>9.8534224232456141E-2</v>
      </c>
      <c r="I82" s="208">
        <f t="shared" ca="1" si="13"/>
        <v>1.3793321367293476</v>
      </c>
      <c r="J82" s="208">
        <f>Constants!$D$22/1000000000*Constants!$C$21*IF(ISBLANK(Design!$B$32),Design!$B$31,Design!$B$32)*1000000</f>
        <v>4.9999999999999996E-2</v>
      </c>
      <c r="K82" s="208">
        <f t="shared" ca="1" si="22"/>
        <v>1.5405913609618038</v>
      </c>
      <c r="L82" s="208">
        <f t="shared" ca="1" si="17"/>
        <v>0.28287297665241817</v>
      </c>
      <c r="M82" s="209">
        <f ca="1">$A82+L82*Design!$B$19</f>
        <v>101.12375966918783</v>
      </c>
      <c r="N82" s="209">
        <f ca="1">K82*Design!$C$12+A82</f>
        <v>137.38010627270134</v>
      </c>
      <c r="O82" s="209">
        <f ca="1">Constants!$D$19+Constants!$D$19*Constants!$C$20/100*(N82-25)</f>
        <v>139.25784709176838</v>
      </c>
      <c r="P82" s="208">
        <f ca="1">(1-Constants!$D$17/1000000000*Design!$B$32*1000000) * ($B82+D82-C82*O82/1000) - (D82+C82*(1+($A82-25)*Constants!$C$31/100)*IF(ISBLANK(Design!$B$40),Constants!$C$6/1000,Design!$B$40/1000))</f>
        <v>3.1089378290565022</v>
      </c>
      <c r="Q82" s="158">
        <f ca="1">IF(P82&gt;Design!$C$28,Design!$C$28,P82)</f>
        <v>3.1089378290565022</v>
      </c>
      <c r="R82" s="159">
        <f>2*Design!$D$6/3</f>
        <v>2.3333333333333335</v>
      </c>
      <c r="S82" s="159">
        <f ca="1">FORECAST(R82, OFFSET(Design!$C$15:$C$17,MATCH(R82,Design!$B$15:$B$17,1)-1,0,2), OFFSET(Design!$B$15:$B$17,MATCH(R82,Design!$B$15:$B$17,1)-1,0,2))+(AB82-25)*Design!$B$18/1000</f>
        <v>0.39603953051845242</v>
      </c>
      <c r="T82" s="225">
        <f ca="1">IF(100*(Design!$C$28+S82+R82*IF(ISBLANK(Design!$B$40),Constants!$C$6,Design!$B$40)/1000*(1+Constants!$C$31/100*(AC82-25)))/($B82+S82-R82*AD82/1000)&gt;Design!$C$35,Design!$C$35,100*(Design!$C$28+S82+R82*IF(ISBLANK(Design!$B$40),Constants!$C$6,Design!$B$40)/1000*(1+Constants!$C$31/100*(AC82-25)))/($B82+S82-R82*AD82/1000))</f>
        <v>76.660257245109293</v>
      </c>
      <c r="U82" s="160">
        <f ca="1">IF(($B82-R82*IF(ISBLANK(Design!$B$40),Constants!$C$6,Design!$B$40)/1000*(1+Constants!$C$31/100*(AC82-25))-Design!$C$28)/(IF(ISBLANK(Design!$B$39),Design!$B$38,Design!$B$39)/1000000)*T82/100/(IF(ISBLANK(Design!$B$32),Design!$B$31,Design!$B$32)*1000000)&lt;0,0,($B82-R82*IF(ISBLANK(Design!$B$40),Constants!$C$6,Design!$B$40)/1000*(1+Constants!$C$31/100*(AC82-25))-Design!$C$28)/(IF(ISBLANK(Design!$B$39),Design!$B$38,Design!$B$39)/1000000)*T82/100/(IF(ISBLANK(Design!$B$32),Design!$B$31,Design!$B$32)*1000000))</f>
        <v>0.25078564077949655</v>
      </c>
      <c r="V82" s="226">
        <f>$B82*Constants!$C$18/1000+IF(ISBLANK(Design!$B$32),Design!$B$31,Design!$B$32)*1000000*Constants!$D$22/1000000000*($B82-Constants!$C$21)</f>
        <v>1.2725000000000004E-2</v>
      </c>
      <c r="W82" s="226">
        <f>$B82*R82*($B82/(Constants!$C$23*1000000000)*IF(ISBLANK(Design!$B$32),Design!$B$31,Design!$B$32)*1000000/2+$B82/(Constants!$C$24*1000000000)*IF(ISBLANK(Design!$B$32),Design!$B$31,Design!$B$32)*1000000/2)</f>
        <v>6.5689482821637432E-2</v>
      </c>
      <c r="X82" s="226">
        <f t="shared" ca="1" si="14"/>
        <v>0.51577687474887601</v>
      </c>
      <c r="Y82" s="226">
        <f>Constants!$D$22/1000000000*Constants!$C$21*IF(ISBLANK(Design!$B$32),Design!$B$31,Design!$B$32)*1000000</f>
        <v>4.9999999999999996E-2</v>
      </c>
      <c r="Z82" s="226">
        <f t="shared" ca="1" si="23"/>
        <v>0.64419135757051349</v>
      </c>
      <c r="AA82" s="226">
        <f t="shared" ca="1" si="19"/>
        <v>0.21568075113826188</v>
      </c>
      <c r="AB82" s="227">
        <f ca="1">$A82+AA82*Design!$B$19</f>
        <v>97.293802814880934</v>
      </c>
      <c r="AC82" s="227">
        <f ca="1">Z82*Design!$C$12+$A82</f>
        <v>106.90250615739745</v>
      </c>
      <c r="AD82" s="227">
        <f ca="1">Constants!$D$19+Constants!$D$19*Constants!$C$20/100*(AC82-25)</f>
        <v>123.45825919199484</v>
      </c>
      <c r="AE82" s="226">
        <f ca="1">(1-Constants!$D$17/1000000000*Design!$B$32*1000000) * ($B82+S82-R82*AD82/1000) - (S82+R82*(1+($A82-25)*Constants!$C$31/100)*IF(ISBLANK(Design!$B$40),Constants!$C$6/1000,Design!$B$40/1000))</f>
        <v>3.2953471997084343</v>
      </c>
      <c r="AF82" s="160">
        <f ca="1">IF(AE82&gt;Design!$C$28,Design!$C$28,AE82)</f>
        <v>3.2953471997084343</v>
      </c>
      <c r="AG82" s="161">
        <f>Design!$D$6/3</f>
        <v>1.1666666666666667</v>
      </c>
      <c r="AH82" s="161">
        <f ca="1">FORECAST(AG82, OFFSET(Design!$C$15:$C$17,MATCH(AG82,Design!$B$15:$B$17,1)-1,0,2), OFFSET(Design!$B$15:$B$17,MATCH(AG82,Design!$B$15:$B$17,1)-1,0,2))+(AQ82-25)*Design!$B$18/1000</f>
        <v>0.32935335074181216</v>
      </c>
      <c r="AI82" s="239">
        <f ca="1">IF(100*(Design!$C$28+AH82+AG82*IF(ISBLANK(Design!$B$40),Constants!$C$6,Design!$B$40)/1000*(1+Constants!$C$31/100*(AR82-25)))/($B82+AH82-AG82*AS82/1000)&gt;Design!$C$35,Design!$C$35,100*(Design!$C$28+AH82+AG82*IF(ISBLANK(Design!$B$40),Constants!$C$6,Design!$B$40)/1000*(1+Constants!$C$31/100*(AR82-25)))/($B82+AH82-AG82*AS82/1000))</f>
        <v>73.37304801987267</v>
      </c>
      <c r="AJ82" s="162">
        <f ca="1">IF(($B82-AG82*IF(ISBLANK(Design!$B$40),Constants!$C$6,Design!$B$40)/1000*(1+Constants!$C$31/100*(AR82-25))-Design!$C$28)/(IF(ISBLANK(Design!$B$39),Design!$B$38,Design!$B$39)/1000000)*AI82/100/(IF(ISBLANK(Design!$B$32),Design!$B$31,Design!$B$32)*1000000)&lt;0,0,($B82-AG82*IF(ISBLANK(Design!$B$40),Constants!$C$6,Design!$B$40)/1000*(1+Constants!$C$31/100*(AR82-25))-Design!$C$28)/(IF(ISBLANK(Design!$B$39),Design!$B$38,Design!$B$39)/1000000)*AI82/100/(IF(ISBLANK(Design!$B$32),Design!$B$31,Design!$B$32)*1000000))</f>
        <v>0.24540018114263354</v>
      </c>
      <c r="AK82" s="240">
        <f>$B82*Constants!$C$18/1000+IF(ISBLANK(Design!$B$32),Design!$B$31,Design!$B$32)*1000000*Constants!$D$22/1000000000*($B82-Constants!$C$21)</f>
        <v>1.2725000000000004E-2</v>
      </c>
      <c r="AL82" s="240">
        <f>$B82*AG82*($B82/(Constants!$C$23*1000000000)*IF(ISBLANK(Design!$B$32),Design!$B$31,Design!$B$32)*1000000/2+$B82/(Constants!$C$24*1000000000)*IF(ISBLANK(Design!$B$32),Design!$B$31,Design!$B$32)*1000000/2)</f>
        <v>3.2844741410818716E-2</v>
      </c>
      <c r="AM82" s="240">
        <f t="shared" ca="1" si="15"/>
        <v>0.11610960747624008</v>
      </c>
      <c r="AN82" s="240">
        <f>Constants!$D$22/1000000000*Constants!$C$21*IF(ISBLANK(Design!$B$32),Design!$B$31,Design!$B$32)*1000000</f>
        <v>4.9999999999999996E-2</v>
      </c>
      <c r="AO82" s="240">
        <f t="shared" ca="1" si="24"/>
        <v>0.2116793488870588</v>
      </c>
      <c r="AP82" s="240">
        <f t="shared" ca="1" si="21"/>
        <v>0.10231288497145646</v>
      </c>
      <c r="AQ82" s="241">
        <f ca="1">$A82+AP82*Design!$B$19</f>
        <v>90.831834443373012</v>
      </c>
      <c r="AR82" s="241">
        <f ca="1">AO82*Design!$C$12+$A82</f>
        <v>92.197097862160007</v>
      </c>
      <c r="AS82" s="241">
        <f ca="1">Constants!$D$19+Constants!$D$19*Constants!$C$20/100*(AR82-25)</f>
        <v>115.83497553174375</v>
      </c>
      <c r="AT82" s="240">
        <f ca="1">(1-Constants!$D$17/1000000000*Design!$B$32*1000000) * ($B82+AH82-AG82*AS82/1000) - (AH82+AG82*(1+($A82-25)*Constants!$C$31/100)*IF(ISBLANK(Design!$B$40),Constants!$C$6/1000,Design!$B$40/1000))</f>
        <v>3.4564128508504854</v>
      </c>
      <c r="AU82" s="162">
        <f ca="1">IF(AT82&gt;Design!$C$28,Design!$C$28,AT82)</f>
        <v>3.3239005736137672</v>
      </c>
    </row>
    <row r="83" spans="1:47" ht="12.75" customHeight="1">
      <c r="A83" s="155">
        <f>Design!$D$13</f>
        <v>85</v>
      </c>
      <c r="B83" s="156">
        <f t="shared" si="12"/>
        <v>4.62</v>
      </c>
      <c r="C83" s="157">
        <f>Design!$D$6</f>
        <v>3.5</v>
      </c>
      <c r="D83" s="157">
        <f ca="1">FORECAST(C83, OFFSET(Design!$C$15:$C$17,MATCH(C83,Design!$B$15:$B$17,1)-1,0,2), OFFSET(Design!$B$15:$B$17,MATCH(C83,Design!$B$15:$B$17,1)-1,0,2))+(M83-25)*Design!$B$18/1000</f>
        <v>0.42442275899120718</v>
      </c>
      <c r="E83" s="216">
        <f ca="1">IF(100*(Design!$C$28+D83+C83*IF(ISBLANK(Design!$B$40),Constants!$C$6,Design!$B$40)/1000*(1+Constants!$C$31/100*(N83-25)))/($B83+D83-C83*O83/1000)&gt;Design!$C$35,Design!$C$35,100*(Design!$C$28+D83+C83*IF(ISBLANK(Design!$B$40),Constants!$C$6,Design!$B$40)/1000*(1+Constants!$C$31/100*(N83-25)))/($B83+D83-C83*O83/1000))</f>
        <v>84.555474734583342</v>
      </c>
      <c r="F83" s="158">
        <f ca="1">IF(($B83-C83*IF(ISBLANK(Design!$B$40),Constants!$C$6,Design!$B$40)/1000*(1+Constants!$C$31/100*(N83-25))-Design!$C$28)/(IF(ISBLANK(Design!$B$39),Design!$B$38,Design!$B$39)/1000000)*E83/100/(IF(ISBLANK(Design!$B$32),Design!$B$31,Design!$B$32)*1000000)&lt;0,0,($B83-C83*IF(ISBLANK(Design!$B$40),Constants!$C$6,Design!$B$40)/1000*(1+Constants!$C$31/100*(N83-25))-Design!$C$28)/(IF(ISBLANK(Design!$B$39),Design!$B$38,Design!$B$39)/1000000)*E83/100/(IF(ISBLANK(Design!$B$32),Design!$B$31,Design!$B$32)*1000000))</f>
        <v>0.22956424402850814</v>
      </c>
      <c r="G83" s="208">
        <f>B83*Constants!$C$18/1000+IF(ISBLANK(Design!$B$32),Design!$B$31,Design!$B$32)*1000000*Constants!$D$22/1000000000*(B83-Constants!$C$21)</f>
        <v>1.0059999999999999E-2</v>
      </c>
      <c r="H83" s="208">
        <f>B83*C83*(B83/(Constants!$C$23*1000000000)*IF(ISBLANK(Design!$B$32),Design!$B$31,Design!$B$32)*1000000/2+B83/(Constants!$C$24*1000000000)*IF(ISBLANK(Design!$B$32),Design!$B$31,Design!$B$32)*1000000/2)</f>
        <v>9.0339236842105264E-2</v>
      </c>
      <c r="I83" s="208">
        <f t="shared" ca="1" si="13"/>
        <v>1.4547458439615453</v>
      </c>
      <c r="J83" s="208">
        <f>Constants!$D$22/1000000000*Constants!$C$21*IF(ISBLANK(Design!$B$32),Design!$B$31,Design!$B$32)*1000000</f>
        <v>4.9999999999999996E-2</v>
      </c>
      <c r="K83" s="208">
        <f ca="1">SUM(G83:J83)</f>
        <v>1.6051450808036505</v>
      </c>
      <c r="L83" s="208">
        <f t="shared" ca="1" si="17"/>
        <v>0.22942528085601399</v>
      </c>
      <c r="M83" s="209">
        <f ca="1">$A83+L83*Design!$B$19</f>
        <v>98.077241008792797</v>
      </c>
      <c r="N83" s="209">
        <f ca="1">K83*Design!$C$12+A83</f>
        <v>139.57493274732411</v>
      </c>
      <c r="O83" s="209">
        <f ca="1">Constants!$D$19+Constants!$D$19*Constants!$C$20/100*(N83-25)</f>
        <v>140.39564513621283</v>
      </c>
      <c r="P83" s="208">
        <f ca="1">(1-Constants!$D$17/1000000000*Design!$B$32*1000000) * ($B83+D83-C83*O83/1000) - (D83+C83*(1+($A83-25)*Constants!$C$31/100)*IF(ISBLANK(Design!$B$40),Constants!$C$6/1000,Design!$B$40/1000))</f>
        <v>2.949380121779785</v>
      </c>
      <c r="Q83" s="158">
        <f ca="1">IF(P83&gt;Design!$C$28,Design!$C$28,P83)</f>
        <v>2.949380121779785</v>
      </c>
      <c r="R83" s="159">
        <f>2*Design!$D$6/3</f>
        <v>2.3333333333333335</v>
      </c>
      <c r="S83" s="159">
        <f ca="1">FORECAST(R83, OFFSET(Design!$C$15:$C$17,MATCH(R83,Design!$B$15:$B$17,1)-1,0,2), OFFSET(Design!$B$15:$B$17,MATCH(R83,Design!$B$15:$B$17,1)-1,0,2))+(AB83-25)*Design!$B$18/1000</f>
        <v>0.39775527438905561</v>
      </c>
      <c r="T83" s="225">
        <f ca="1">IF(100*(Design!$C$28+S83+R83*IF(ISBLANK(Design!$B$40),Constants!$C$6,Design!$B$40)/1000*(1+Constants!$C$31/100*(AC83-25)))/($B83+S83-R83*AD83/1000)&gt;Design!$C$35,Design!$C$35,100*(Design!$C$28+S83+R83*IF(ISBLANK(Design!$B$40),Constants!$C$6,Design!$B$40)/1000*(1+Constants!$C$31/100*(AC83-25)))/($B83+S83-R83*AD83/1000))</f>
        <v>80.004217945648222</v>
      </c>
      <c r="U83" s="160">
        <f ca="1">IF(($B83-R83*IF(ISBLANK(Design!$B$40),Constants!$C$6,Design!$B$40)/1000*(1+Constants!$C$31/100*(AC83-25))-Design!$C$28)/(IF(ISBLANK(Design!$B$39),Design!$B$38,Design!$B$39)/1000000)*T83/100/(IF(ISBLANK(Design!$B$32),Design!$B$31,Design!$B$32)*1000000)&lt;0,0,($B83-R83*IF(ISBLANK(Design!$B$40),Constants!$C$6,Design!$B$40)/1000*(1+Constants!$C$31/100*(AC83-25))-Design!$C$28)/(IF(ISBLANK(Design!$B$39),Design!$B$38,Design!$B$39)/1000000)*T83/100/(IF(ISBLANK(Design!$B$32),Design!$B$31,Design!$B$32)*1000000))</f>
        <v>0.22443282740202297</v>
      </c>
      <c r="V83" s="226">
        <f>$B83*Constants!$C$18/1000+IF(ISBLANK(Design!$B$32),Design!$B$31,Design!$B$32)*1000000*Constants!$D$22/1000000000*($B83-Constants!$C$21)</f>
        <v>1.0059999999999999E-2</v>
      </c>
      <c r="W83" s="226">
        <f>$B83*R83*($B83/(Constants!$C$23*1000000000)*IF(ISBLANK(Design!$B$32),Design!$B$31,Design!$B$32)*1000000/2+$B83/(Constants!$C$24*1000000000)*IF(ISBLANK(Design!$B$32),Design!$B$31,Design!$B$32)*1000000/2)</f>
        <v>6.0226157894736843E-2</v>
      </c>
      <c r="X83" s="226">
        <f t="shared" ca="1" si="14"/>
        <v>0.5393596585663224</v>
      </c>
      <c r="Y83" s="226">
        <f>Constants!$D$22/1000000000*Constants!$C$21*IF(ISBLANK(Design!$B$32),Design!$B$31,Design!$B$32)*1000000</f>
        <v>4.9999999999999996E-2</v>
      </c>
      <c r="Z83" s="226">
        <f t="shared" ca="1" si="23"/>
        <v>0.65964581646105924</v>
      </c>
      <c r="AA83" s="226">
        <f t="shared" ca="1" si="19"/>
        <v>0.18557998147855703</v>
      </c>
      <c r="AB83" s="227">
        <f ca="1">$A83+AA83*Design!$B$19</f>
        <v>95.578058944277757</v>
      </c>
      <c r="AC83" s="227">
        <f ca="1">Z83*Design!$C$12+$A83</f>
        <v>107.42795775967602</v>
      </c>
      <c r="AD83" s="227">
        <f ca="1">Constants!$D$19+Constants!$D$19*Constants!$C$20/100*(AC83-25)</f>
        <v>123.73065330261605</v>
      </c>
      <c r="AE83" s="226">
        <f ca="1">(1-Constants!$D$17/1000000000*Design!$B$32*1000000) * ($B83+S83-R83*AD83/1000) - (S83+R83*(1+($A83-25)*Constants!$C$31/100)*IF(ISBLANK(Design!$B$40),Constants!$C$6/1000,Design!$B$40/1000))</f>
        <v>3.1386523756233209</v>
      </c>
      <c r="AF83" s="160">
        <f ca="1">IF(AE83&gt;Design!$C$28,Design!$C$28,AE83)</f>
        <v>3.1386523756233209</v>
      </c>
      <c r="AG83" s="161">
        <f>Design!$D$6/3</f>
        <v>1.1666666666666667</v>
      </c>
      <c r="AH83" s="161">
        <f ca="1">FORECAST(AG83, OFFSET(Design!$C$15:$C$17,MATCH(AG83,Design!$B$15:$B$17,1)-1,0,2), OFFSET(Design!$B$15:$B$17,MATCH(AG83,Design!$B$15:$B$17,1)-1,0,2))+(AQ83-25)*Design!$B$18/1000</f>
        <v>0.33002778926790061</v>
      </c>
      <c r="AI83" s="239">
        <f ca="1">IF(100*(Design!$C$28+AH83+AG83*IF(ISBLANK(Design!$B$40),Constants!$C$6,Design!$B$40)/1000*(1+Constants!$C$31/100*(AR83-25)))/($B83+AH83-AG83*AS83/1000)&gt;Design!$C$35,Design!$C$35,100*(Design!$C$28+AH83+AG83*IF(ISBLANK(Design!$B$40),Constants!$C$6,Design!$B$40)/1000*(1+Constants!$C$31/100*(AR83-25)))/($B83+AH83-AG83*AS83/1000))</f>
        <v>76.500516518361067</v>
      </c>
      <c r="AJ83" s="162">
        <f ca="1">IF(($B83-AG83*IF(ISBLANK(Design!$B$40),Constants!$C$6,Design!$B$40)/1000*(1+Constants!$C$31/100*(AR83-25))-Design!$C$28)/(IF(ISBLANK(Design!$B$39),Design!$B$38,Design!$B$39)/1000000)*AI83/100/(IF(ISBLANK(Design!$B$32),Design!$B$31,Design!$B$32)*1000000)&lt;0,0,($B83-AG83*IF(ISBLANK(Design!$B$40),Constants!$C$6,Design!$B$40)/1000*(1+Constants!$C$31/100*(AR83-25))-Design!$C$28)/(IF(ISBLANK(Design!$B$39),Design!$B$38,Design!$B$39)/1000000)*AI83/100/(IF(ISBLANK(Design!$B$32),Design!$B$31,Design!$B$32)*1000000))</f>
        <v>0.22021817985577372</v>
      </c>
      <c r="AK83" s="240">
        <f>$B83*Constants!$C$18/1000+IF(ISBLANK(Design!$B$32),Design!$B$31,Design!$B$32)*1000000*Constants!$D$22/1000000000*($B83-Constants!$C$21)</f>
        <v>1.0059999999999999E-2</v>
      </c>
      <c r="AL83" s="240">
        <f>$B83*AG83*($B83/(Constants!$C$23*1000000000)*IF(ISBLANK(Design!$B$32),Design!$B$31,Design!$B$32)*1000000/2+$B83/(Constants!$C$24*1000000000)*IF(ISBLANK(Design!$B$32),Design!$B$31,Design!$B$32)*1000000/2)</f>
        <v>3.0113078947368421E-2</v>
      </c>
      <c r="AM83" s="240">
        <f t="shared" ca="1" si="15"/>
        <v>0.12096208618919857</v>
      </c>
      <c r="AN83" s="240">
        <f>Constants!$D$22/1000000000*Constants!$C$21*IF(ISBLANK(Design!$B$32),Design!$B$31,Design!$B$32)*1000000</f>
        <v>4.9999999999999996E-2</v>
      </c>
      <c r="AO83" s="240">
        <f t="shared" ca="1" si="24"/>
        <v>0.21113516513656699</v>
      </c>
      <c r="AP83" s="240">
        <f t="shared" ca="1" si="21"/>
        <v>9.0480630127799846E-2</v>
      </c>
      <c r="AQ83" s="241">
        <f ca="1">$A83+AP83*Design!$B$19</f>
        <v>90.157395917284589</v>
      </c>
      <c r="AR83" s="241">
        <f ca="1">AO83*Design!$C$12+$A83</f>
        <v>92.178595614643285</v>
      </c>
      <c r="AS83" s="241">
        <f ca="1">Constants!$D$19+Constants!$D$19*Constants!$C$20/100*(AR83-25)</f>
        <v>115.82538396663108</v>
      </c>
      <c r="AT83" s="240">
        <f ca="1">(1-Constants!$D$17/1000000000*Design!$B$32*1000000) * ($B83+AH83-AG83*AS83/1000) - (AH83+AG83*(1+($A83-25)*Constants!$C$31/100)*IF(ISBLANK(Design!$B$40),Constants!$C$6/1000,Design!$B$40/1000))</f>
        <v>3.3004594901252906</v>
      </c>
      <c r="AU83" s="162">
        <f ca="1">IF(AT83&gt;Design!$C$28,Design!$C$28,AT83)</f>
        <v>3.3004594901252906</v>
      </c>
    </row>
    <row r="84" spans="1:47" ht="12.75" customHeight="1">
      <c r="A84" s="155">
        <f>Design!$D$13</f>
        <v>85</v>
      </c>
      <c r="B84" s="156">
        <f t="shared" si="12"/>
        <v>4.415</v>
      </c>
      <c r="C84" s="157">
        <f>Design!$D$6</f>
        <v>3.5</v>
      </c>
      <c r="D84" s="157">
        <f ca="1">FORECAST(C84, OFFSET(Design!$C$15:$C$17,MATCH(C84,Design!$B$15:$B$17,1)-1,0,2), OFFSET(Design!$B$15:$B$17,MATCH(C84,Design!$B$15:$B$17,1)-1,0,2))+(M84-25)*Design!$B$18/1000</f>
        <v>0.42644027155716491</v>
      </c>
      <c r="E84" s="216">
        <f ca="1">IF(100*(Design!$C$28+D84+C84*IF(ISBLANK(Design!$B$40),Constants!$C$6,Design!$B$40)/1000*(1+Constants!$C$31/100*(N84-25)))/($B84+D84-C84*O84/1000)&gt;Design!$C$35,Design!$C$35,100*(Design!$C$28+D84+C84*IF(ISBLANK(Design!$B$40),Constants!$C$6,Design!$B$40)/1000*(1+Constants!$C$31/100*(N84-25)))/($B84+D84-C84*O84/1000))</f>
        <v>87</v>
      </c>
      <c r="F84" s="158">
        <f ca="1">IF(($B84-C84*IF(ISBLANK(Design!$B$40),Constants!$C$6,Design!$B$40)/1000*(1+Constants!$C$31/100*(N84-25))-Design!$C$28)/(IF(ISBLANK(Design!$B$39),Design!$B$38,Design!$B$39)/1000000)*E84/100/(IF(ISBLANK(Design!$B$32),Design!$B$31,Design!$B$32)*1000000)&lt;0,0,($B84-C84*IF(ISBLANK(Design!$B$40),Constants!$C$6,Design!$B$40)/1000*(1+Constants!$C$31/100*(N84-25))-Design!$C$28)/(IF(ISBLANK(Design!$B$39),Design!$B$38,Design!$B$39)/1000000)*E84/100/(IF(ISBLANK(Design!$B$32),Design!$B$31,Design!$B$32)*1000000))</f>
        <v>0.19559540617649257</v>
      </c>
      <c r="G84" s="208">
        <f>B84*Constants!$C$18/1000+IF(ISBLANK(Design!$B$32),Design!$B$31,Design!$B$32)*1000000*Constants!$D$22/1000000000*(B84-Constants!$C$21)</f>
        <v>7.3950000000000014E-3</v>
      </c>
      <c r="H84" s="208">
        <f>B84*C84*(B84/(Constants!$C$23*1000000000)*IF(ISBLANK(Design!$B$32),Design!$B$31,Design!$B$32)*1000000/2+B84/(Constants!$C$24*1000000000)*IF(ISBLANK(Design!$B$32),Design!$B$31,Design!$B$32)*1000000/2)</f>
        <v>8.2499987390350873E-2</v>
      </c>
      <c r="I84" s="208">
        <f t="shared" ca="1" si="13"/>
        <v>1.5039222562077603</v>
      </c>
      <c r="J84" s="208">
        <f>Constants!$D$22/1000000000*Constants!$C$21*IF(ISBLANK(Design!$B$32),Design!$B$31,Design!$B$32)*1000000</f>
        <v>4.9999999999999996E-2</v>
      </c>
      <c r="K84" s="208">
        <f t="shared" ca="1" si="22"/>
        <v>1.6438172435981113</v>
      </c>
      <c r="L84" s="208">
        <f t="shared" ca="1" si="17"/>
        <v>0.19403032355851005</v>
      </c>
      <c r="M84" s="209">
        <f ca="1">$A84+L84*Design!$B$19</f>
        <v>96.05972844283508</v>
      </c>
      <c r="N84" s="209">
        <f ca="1">K84*Design!$C$12+A84</f>
        <v>140.88978628233579</v>
      </c>
      <c r="O84" s="209">
        <f ca="1">Constants!$D$19+Constants!$D$19*Constants!$C$20/100*(N84-25)</f>
        <v>141.07726520876287</v>
      </c>
      <c r="P84" s="208">
        <f ca="1">(1-Constants!$D$17/1000000000*Design!$B$32*1000000) * ($B84+D84-C84*O84/1000) - (D84+C84*(1+($A84-25)*Constants!$C$31/100)*IF(ISBLANK(Design!$B$40),Constants!$C$6/1000,Design!$B$40/1000))</f>
        <v>2.791282809370971</v>
      </c>
      <c r="Q84" s="158">
        <f ca="1">IF(P84&gt;Design!$C$28,Design!$C$28,P84)</f>
        <v>2.791282809370971</v>
      </c>
      <c r="R84" s="159">
        <f>2*Design!$D$6/3</f>
        <v>2.3333333333333335</v>
      </c>
      <c r="S84" s="159">
        <f ca="1">FORECAST(R84, OFFSET(Design!$C$15:$C$17,MATCH(R84,Design!$B$15:$B$17,1)-1,0,2), OFFSET(Design!$B$15:$B$17,MATCH(R84,Design!$B$15:$B$17,1)-1,0,2))+(AB84-25)*Design!$B$18/1000</f>
        <v>0.3996442089882784</v>
      </c>
      <c r="T84" s="225">
        <f ca="1">IF(100*(Design!$C$28+S84+R84*IF(ISBLANK(Design!$B$40),Constants!$C$6,Design!$B$40)/1000*(1+Constants!$C$31/100*(AC84-25)))/($B84+S84-R84*AD84/1000)&gt;Design!$C$35,Design!$C$35,100*(Design!$C$28+S84+R84*IF(ISBLANK(Design!$B$40),Constants!$C$6,Design!$B$40)/1000*(1+Constants!$C$31/100*(AC84-25)))/($B84+S84-R84*AD84/1000))</f>
        <v>83.652518784574482</v>
      </c>
      <c r="U84" s="160">
        <f ca="1">IF(($B84-R84*IF(ISBLANK(Design!$B$40),Constants!$C$6,Design!$B$40)/1000*(1+Constants!$C$31/100*(AC84-25))-Design!$C$28)/(IF(ISBLANK(Design!$B$39),Design!$B$38,Design!$B$39)/1000000)*T84/100/(IF(ISBLANK(Design!$B$32),Design!$B$31,Design!$B$32)*1000000)&lt;0,0,($B84-R84*IF(ISBLANK(Design!$B$40),Constants!$C$6,Design!$B$40)/1000*(1+Constants!$C$31/100*(AC84-25))-Design!$C$28)/(IF(ISBLANK(Design!$B$39),Design!$B$38,Design!$B$39)/1000000)*T84/100/(IF(ISBLANK(Design!$B$32),Design!$B$31,Design!$B$32)*1000000))</f>
        <v>0.19567140136775321</v>
      </c>
      <c r="V84" s="226">
        <f>$B84*Constants!$C$18/1000+IF(ISBLANK(Design!$B$32),Design!$B$31,Design!$B$32)*1000000*Constants!$D$22/1000000000*($B84-Constants!$C$21)</f>
        <v>7.3950000000000014E-3</v>
      </c>
      <c r="W84" s="226">
        <f>$B84*R84*($B84/(Constants!$C$23*1000000000)*IF(ISBLANK(Design!$B$32),Design!$B$31,Design!$B$32)*1000000/2+$B84/(Constants!$C$24*1000000000)*IF(ISBLANK(Design!$B$32),Design!$B$31,Design!$B$32)*1000000/2)</f>
        <v>5.4999991593567256E-2</v>
      </c>
      <c r="X84" s="226">
        <f t="shared" ca="1" si="14"/>
        <v>0.56530076811690511</v>
      </c>
      <c r="Y84" s="226">
        <f>Constants!$D$22/1000000000*Constants!$C$21*IF(ISBLANK(Design!$B$32),Design!$B$31,Design!$B$32)*1000000</f>
        <v>4.9999999999999996E-2</v>
      </c>
      <c r="Z84" s="226">
        <f t="shared" ca="1" si="23"/>
        <v>0.67769575971047236</v>
      </c>
      <c r="AA84" s="226">
        <f t="shared" ca="1" si="19"/>
        <v>0.15244077798342101</v>
      </c>
      <c r="AB84" s="227">
        <f ca="1">$A84+AA84*Design!$B$19</f>
        <v>93.689124345054992</v>
      </c>
      <c r="AC84" s="227">
        <f ca="1">Z84*Design!$C$12+$A84</f>
        <v>108.04165583015606</v>
      </c>
      <c r="AD84" s="227">
        <f ca="1">Constants!$D$19+Constants!$D$19*Constants!$C$20/100*(AC84-25)</f>
        <v>124.04879438235291</v>
      </c>
      <c r="AE84" s="226">
        <f ca="1">(1-Constants!$D$17/1000000000*Design!$B$32*1000000) * ($B84+S84-R84*AD84/1000) - (S84+R84*(1+($A84-25)*Constants!$C$31/100)*IF(ISBLANK(Design!$B$40),Constants!$C$6/1000,Design!$B$40/1000))</f>
        <v>2.9818348611381071</v>
      </c>
      <c r="AF84" s="160">
        <f ca="1">IF(AE84&gt;Design!$C$28,Design!$C$28,AE84)</f>
        <v>2.9818348611381071</v>
      </c>
      <c r="AG84" s="161">
        <f>Design!$D$6/3</f>
        <v>1.1666666666666667</v>
      </c>
      <c r="AH84" s="161">
        <f ca="1">FORECAST(AG84, OFFSET(Design!$C$15:$C$17,MATCH(AG84,Design!$B$15:$B$17,1)-1,0,2), OFFSET(Design!$B$15:$B$17,MATCH(AG84,Design!$B$15:$B$17,1)-1,0,2))+(AQ84-25)*Design!$B$18/1000</f>
        <v>0.33076526094810471</v>
      </c>
      <c r="AI84" s="239">
        <f ca="1">IF(100*(Design!$C$28+AH84+AG84*IF(ISBLANK(Design!$B$40),Constants!$C$6,Design!$B$40)/1000*(1+Constants!$C$31/100*(AR84-25)))/($B84+AH84-AG84*AS84/1000)&gt;Design!$C$35,Design!$C$35,100*(Design!$C$28+AH84+AG84*IF(ISBLANK(Design!$B$40),Constants!$C$6,Design!$B$40)/1000*(1+Constants!$C$31/100*(AR84-25)))/($B84+AH84-AG84*AS84/1000))</f>
        <v>79.905681167666756</v>
      </c>
      <c r="AJ84" s="162">
        <f ca="1">IF(($B84-AG84*IF(ISBLANK(Design!$B$40),Constants!$C$6,Design!$B$40)/1000*(1+Constants!$C$31/100*(AR84-25))-Design!$C$28)/(IF(ISBLANK(Design!$B$39),Design!$B$38,Design!$B$39)/1000000)*AI84/100/(IF(ISBLANK(Design!$B$32),Design!$B$31,Design!$B$32)*1000000)&lt;0,0,($B84-AG84*IF(ISBLANK(Design!$B$40),Constants!$C$6,Design!$B$40)/1000*(1+Constants!$C$31/100*(AR84-25))-Design!$C$28)/(IF(ISBLANK(Design!$B$39),Design!$B$38,Design!$B$39)/1000000)*AI84/100/(IF(ISBLANK(Design!$B$32),Design!$B$31,Design!$B$32)*1000000))</f>
        <v>0.19279166153772684</v>
      </c>
      <c r="AK84" s="240">
        <f>$B84*Constants!$C$18/1000+IF(ISBLANK(Design!$B$32),Design!$B$31,Design!$B$32)*1000000*Constants!$D$22/1000000000*($B84-Constants!$C$21)</f>
        <v>7.3950000000000014E-3</v>
      </c>
      <c r="AL84" s="240">
        <f>$B84*AG84*($B84/(Constants!$C$23*1000000000)*IF(ISBLANK(Design!$B$32),Design!$B$31,Design!$B$32)*1000000/2+$B84/(Constants!$C$24*1000000000)*IF(ISBLANK(Design!$B$32),Design!$B$31,Design!$B$32)*1000000/2)</f>
        <v>2.7499995796783628E-2</v>
      </c>
      <c r="AM84" s="240">
        <f t="shared" ca="1" si="15"/>
        <v>0.12625931298632853</v>
      </c>
      <c r="AN84" s="240">
        <f>Constants!$D$22/1000000000*Constants!$C$21*IF(ISBLANK(Design!$B$32),Design!$B$31,Design!$B$32)*1000000</f>
        <v>4.9999999999999996E-2</v>
      </c>
      <c r="AO84" s="240">
        <f t="shared" ca="1" si="24"/>
        <v>0.21115430878311214</v>
      </c>
      <c r="AP84" s="240">
        <f t="shared" ca="1" si="21"/>
        <v>7.7542530475096419E-2</v>
      </c>
      <c r="AQ84" s="241">
        <f ca="1">$A84+AP84*Design!$B$19</f>
        <v>89.419924237080494</v>
      </c>
      <c r="AR84" s="241">
        <f ca="1">AO84*Design!$C$12+$A84</f>
        <v>92.179246498625815</v>
      </c>
      <c r="AS84" s="241">
        <f ca="1">Constants!$D$19+Constants!$D$19*Constants!$C$20/100*(AR84-25)</f>
        <v>115.82572138488763</v>
      </c>
      <c r="AT84" s="240">
        <f ca="1">(1-Constants!$D$17/1000000000*Design!$B$32*1000000) * ($B84+AH84-AG84*AS84/1000) - (AH84+AG84*(1+($A84-25)*Constants!$C$31/100)*IF(ISBLANK(Design!$B$40),Constants!$C$6/1000,Design!$B$40/1000))</f>
        <v>3.1444821977445208</v>
      </c>
      <c r="AU84" s="162">
        <f ca="1">IF(AT84&gt;Design!$C$28,Design!$C$28,AT84)</f>
        <v>3.1444821977445208</v>
      </c>
    </row>
    <row r="85" spans="1:47" ht="12.75" customHeight="1">
      <c r="A85" s="155">
        <f>Design!$D$13</f>
        <v>85</v>
      </c>
      <c r="B85" s="156">
        <f t="shared" si="12"/>
        <v>4.21</v>
      </c>
      <c r="C85" s="157">
        <f>Design!$D$6</f>
        <v>3.5</v>
      </c>
      <c r="D85" s="157">
        <f ca="1">FORECAST(C85, OFFSET(Design!$C$15:$C$17,MATCH(C85,Design!$B$15:$B$17,1)-1,0,2), OFFSET(Design!$B$15:$B$17,MATCH(C85,Design!$B$15:$B$17,1)-1,0,2))+(M85-25)*Design!$B$18/1000</f>
        <v>0.42644027155716491</v>
      </c>
      <c r="E85" s="216">
        <f ca="1">IF(100*(Design!$C$28+D85+C85*IF(ISBLANK(Design!$B$40),Constants!$C$6,Design!$B$40)/1000*(1+Constants!$C$31/100*(N85-25)))/($B85+D85-C85*O85/1000)&gt;Design!$C$35,Design!$C$35,100*(Design!$C$28+D85+C85*IF(ISBLANK(Design!$B$40),Constants!$C$6,Design!$B$40)/1000*(1+Constants!$C$31/100*(N85-25)))/($B85+D85-C85*O85/1000))</f>
        <v>87</v>
      </c>
      <c r="F85" s="158">
        <f ca="1">IF(($B85-C85*IF(ISBLANK(Design!$B$40),Constants!$C$6,Design!$B$40)/1000*(1+Constants!$C$31/100*(N85-25))-Design!$C$28)/(IF(ISBLANK(Design!$B$39),Design!$B$38,Design!$B$39)/1000000)*E85/100/(IF(ISBLANK(Design!$B$32),Design!$B$31,Design!$B$32)*1000000)&lt;0,0,($B85-C85*IF(ISBLANK(Design!$B$40),Constants!$C$6,Design!$B$40)/1000*(1+Constants!$C$31/100*(N85-25))-Design!$C$28)/(IF(ISBLANK(Design!$B$39),Design!$B$38,Design!$B$39)/1000000)*E85/100/(IF(ISBLANK(Design!$B$32),Design!$B$31,Design!$B$32)*1000000))</f>
        <v>0.15508475700806235</v>
      </c>
      <c r="G85" s="208">
        <f>B85*Constants!$C$18/1000+IF(ISBLANK(Design!$B$32),Design!$B$31,Design!$B$32)*1000000*Constants!$D$22/1000000000*(B85-Constants!$C$21)</f>
        <v>4.7299999999999981E-3</v>
      </c>
      <c r="H85" s="208">
        <f>B85*C85*(B85/(Constants!$C$23*1000000000)*IF(ISBLANK(Design!$B$32),Design!$B$31,Design!$B$32)*1000000/2+B85/(Constants!$C$24*1000000000)*IF(ISBLANK(Design!$B$32),Design!$B$31,Design!$B$32)*1000000/2)</f>
        <v>7.5016475877192984E-2</v>
      </c>
      <c r="I85" s="208">
        <f t="shared" ca="1" si="13"/>
        <v>1.501395598287498</v>
      </c>
      <c r="J85" s="208">
        <f>Constants!$D$22/1000000000*Constants!$C$21*IF(ISBLANK(Design!$B$32),Design!$B$31,Design!$B$32)*1000000</f>
        <v>4.9999999999999996E-2</v>
      </c>
      <c r="K85" s="208">
        <f t="shared" ca="1" si="22"/>
        <v>1.6311420741646911</v>
      </c>
      <c r="L85" s="208">
        <f t="shared" ca="1" si="17"/>
        <v>0.19403032355851005</v>
      </c>
      <c r="M85" s="209">
        <f ca="1">$A85+L85*Design!$B$19</f>
        <v>96.05972844283508</v>
      </c>
      <c r="N85" s="209">
        <f ca="1">K85*Design!$C$12+A85</f>
        <v>140.45883052159951</v>
      </c>
      <c r="O85" s="209">
        <f ca="1">Constants!$D$19+Constants!$D$19*Constants!$C$20/100*(N85-25)</f>
        <v>140.8538577423972</v>
      </c>
      <c r="P85" s="208">
        <f ca="1">(1-Constants!$D$17/1000000000*Design!$B$32*1000000) * ($B85+D85-C85*O85/1000) - (D85+C85*(1+($A85-25)*Constants!$C$31/100)*IF(ISBLANK(Design!$B$40),Constants!$C$6/1000,Design!$B$40/1000))</f>
        <v>2.6360770732315038</v>
      </c>
      <c r="Q85" s="333">
        <f ca="1">IF(P85&gt;Design!$C$28,Design!$C$28,P85)</f>
        <v>2.6360770732315038</v>
      </c>
      <c r="R85" s="159">
        <f>2*Design!$D$6/3</f>
        <v>2.3333333333333335</v>
      </c>
      <c r="S85" s="159">
        <f ca="1">FORECAST(R85, OFFSET(Design!$C$15:$C$17,MATCH(R85,Design!$B$15:$B$17,1)-1,0,2), OFFSET(Design!$B$15:$B$17,MATCH(R85,Design!$B$15:$B$17,1)-1,0,2))+(AB85-25)*Design!$B$18/1000</f>
        <v>0.40139324414211619</v>
      </c>
      <c r="T85" s="225">
        <f ca="1">IF(100*(Design!$C$28+S85+R85*IF(ISBLANK(Design!$B$40),Constants!$C$6,Design!$B$40)/1000*(1+Constants!$C$31/100*(AC85-25)))/($B85+S85-R85*AD85/1000)&gt;Design!$C$35,Design!$C$35,100*(Design!$C$28+S85+R85*IF(ISBLANK(Design!$B$40),Constants!$C$6,Design!$B$40)/1000*(1+Constants!$C$31/100*(AC85-25)))/($B85+S85-R85*AD85/1000))</f>
        <v>87</v>
      </c>
      <c r="U85" s="160">
        <f ca="1">IF(($B85-R85*IF(ISBLANK(Design!$B$40),Constants!$C$6,Design!$B$40)/1000*(1+Constants!$C$31/100*(AC85-25))-Design!$C$28)/(IF(ISBLANK(Design!$B$39),Design!$B$38,Design!$B$39)/1000000)*T85/100/(IF(ISBLANK(Design!$B$32),Design!$B$31,Design!$B$32)*1000000)&lt;0,0,($B85-R85*IF(ISBLANK(Design!$B$40),Constants!$C$6,Design!$B$40)/1000*(1+Constants!$C$31/100*(AC85-25))-Design!$C$28)/(IF(ISBLANK(Design!$B$39),Design!$B$38,Design!$B$39)/1000000)*T85/100/(IF(ISBLANK(Design!$B$32),Design!$B$31,Design!$B$32)*1000000))</f>
        <v>0.16294740182693412</v>
      </c>
      <c r="V85" s="226">
        <f>$B85*Constants!$C$18/1000+IF(ISBLANK(Design!$B$32),Design!$B$31,Design!$B$32)*1000000*Constants!$D$22/1000000000*($B85-Constants!$C$21)</f>
        <v>4.7299999999999981E-3</v>
      </c>
      <c r="W85" s="226">
        <f>$B85*R85*($B85/(Constants!$C$23*1000000000)*IF(ISBLANK(Design!$B$32),Design!$B$31,Design!$B$32)*1000000/2+$B85/(Constants!$C$24*1000000000)*IF(ISBLANK(Design!$B$32),Design!$B$31,Design!$B$32)*1000000/2)</f>
        <v>5.0010983918128665E-2</v>
      </c>
      <c r="X85" s="226">
        <f t="shared" ca="1" si="14"/>
        <v>0.58917096945460912</v>
      </c>
      <c r="Y85" s="226">
        <f>Constants!$D$22/1000000000*Constants!$C$21*IF(ISBLANK(Design!$B$32),Design!$B$31,Design!$B$32)*1000000</f>
        <v>4.9999999999999996E-2</v>
      </c>
      <c r="Z85" s="226">
        <f t="shared" ca="1" si="23"/>
        <v>0.69391195337273781</v>
      </c>
      <c r="AA85" s="226">
        <f t="shared" ca="1" si="19"/>
        <v>0.12175595072310859</v>
      </c>
      <c r="AB85" s="227">
        <f ca="1">$A85+AA85*Design!$B$19</f>
        <v>91.940089191217183</v>
      </c>
      <c r="AC85" s="227">
        <f ca="1">Z85*Design!$C$12+$A85</f>
        <v>108.59300641467308</v>
      </c>
      <c r="AD85" s="227">
        <f ca="1">Constants!$D$19+Constants!$D$19*Constants!$C$20/100*(AC85-25)</f>
        <v>124.33461452536653</v>
      </c>
      <c r="AE85" s="226">
        <f ca="1">(1-Constants!$D$17/1000000000*Design!$B$32*1000000) * ($B85+S85-R85*AD85/1000) - (S85+R85*(1+($A85-25)*Constants!$C$31/100)*IF(ISBLANK(Design!$B$40),Constants!$C$6/1000,Design!$B$40/1000))</f>
        <v>2.8251082383142423</v>
      </c>
      <c r="AF85" s="333">
        <f ca="1">IF(AE85&gt;Design!$C$28,Design!$C$28,AE85)</f>
        <v>2.8251082383142423</v>
      </c>
      <c r="AG85" s="161">
        <f>Design!$D$6/3</f>
        <v>1.1666666666666667</v>
      </c>
      <c r="AH85" s="161">
        <f ca="1">FORECAST(AG85, OFFSET(Design!$C$15:$C$17,MATCH(AG85,Design!$B$15:$B$17,1)-1,0,2), OFFSET(Design!$B$15:$B$17,MATCH(AG85,Design!$B$15:$B$17,1)-1,0,2))+(AQ85-25)*Design!$B$18/1000</f>
        <v>0.33157500487296715</v>
      </c>
      <c r="AI85" s="239">
        <f ca="1">IF(100*(Design!$C$28+AH85+AG85*IF(ISBLANK(Design!$B$40),Constants!$C$6,Design!$B$40)/1000*(1+Constants!$C$31/100*(AR85-25)))/($B85+AH85-AG85*AS85/1000)&gt;Design!$C$35,Design!$C$35,100*(Design!$C$28+AH85+AG85*IF(ISBLANK(Design!$B$40),Constants!$C$6,Design!$B$40)/1000*(1+Constants!$C$31/100*(AR85-25)))/($B85+AH85-AG85*AS85/1000))</f>
        <v>83.627105496556112</v>
      </c>
      <c r="AJ85" s="162">
        <f ca="1">IF(($B85-AG85*IF(ISBLANK(Design!$B$40),Constants!$C$6,Design!$B$40)/1000*(1+Constants!$C$31/100*(AR85-25))-Design!$C$28)/(IF(ISBLANK(Design!$B$39),Design!$B$38,Design!$B$39)/1000000)*AI85/100/(IF(ISBLANK(Design!$B$32),Design!$B$31,Design!$B$32)*1000000)&lt;0,0,($B85-AG85*IF(ISBLANK(Design!$B$40),Constants!$C$6,Design!$B$40)/1000*(1+Constants!$C$31/100*(AR85-25))-Design!$C$28)/(IF(ISBLANK(Design!$B$39),Design!$B$38,Design!$B$39)/1000000)*AI85/100/(IF(ISBLANK(Design!$B$32),Design!$B$31,Design!$B$32)*1000000))</f>
        <v>0.1628074796946799</v>
      </c>
      <c r="AK85" s="240">
        <f>$B85*Constants!$C$18/1000+IF(ISBLANK(Design!$B$32),Design!$B$31,Design!$B$32)*1000000*Constants!$D$22/1000000000*($B85-Constants!$C$21)</f>
        <v>4.7299999999999981E-3</v>
      </c>
      <c r="AL85" s="240">
        <f>$B85*AG85*($B85/(Constants!$C$23*1000000000)*IF(ISBLANK(Design!$B$32),Design!$B$31,Design!$B$32)*1000000/2+$B85/(Constants!$C$24*1000000000)*IF(ISBLANK(Design!$B$32),Design!$B$31,Design!$B$32)*1000000/2)</f>
        <v>2.5005491959064333E-2</v>
      </c>
      <c r="AM85" s="240">
        <f t="shared" ca="1" si="15"/>
        <v>0.13206650251899685</v>
      </c>
      <c r="AN85" s="240">
        <f>Constants!$D$22/1000000000*Constants!$C$21*IF(ISBLANK(Design!$B$32),Design!$B$31,Design!$B$32)*1000000</f>
        <v>4.9999999999999996E-2</v>
      </c>
      <c r="AO85" s="240">
        <f t="shared" ca="1" si="24"/>
        <v>0.21180199447806117</v>
      </c>
      <c r="AP85" s="240">
        <f t="shared" ca="1" si="21"/>
        <v>6.3336496705579837E-2</v>
      </c>
      <c r="AQ85" s="241">
        <f ca="1">$A85+AP85*Design!$B$19</f>
        <v>88.610180312218048</v>
      </c>
      <c r="AR85" s="241">
        <f ca="1">AO85*Design!$C$12+$A85</f>
        <v>92.201267812254073</v>
      </c>
      <c r="AS85" s="241">
        <f ca="1">Constants!$D$19+Constants!$D$19*Constants!$C$20/100*(AR85-25)</f>
        <v>115.83713723387251</v>
      </c>
      <c r="AT85" s="240">
        <f ca="1">(1-Constants!$D$17/1000000000*Design!$B$32*1000000) * ($B85+AH85-AG85*AS85/1000) - (AH85+AG85*(1+($A85-25)*Constants!$C$31/100)*IF(ISBLANK(Design!$B$40),Constants!$C$6/1000,Design!$B$40/1000))</f>
        <v>2.988477737149787</v>
      </c>
      <c r="AU85" s="333">
        <f ca="1">IF(AT85&gt;Design!$C$28,Design!$C$28,AT85)</f>
        <v>2.988477737149787</v>
      </c>
    </row>
    <row r="86" spans="1:47" ht="12.75" customHeight="1">
      <c r="A86" s="155">
        <f>Design!$D$13</f>
        <v>85</v>
      </c>
      <c r="B86" s="156">
        <f t="shared" si="12"/>
        <v>4.0049999999999999</v>
      </c>
      <c r="C86" s="157">
        <f>Design!$D$6</f>
        <v>3.5</v>
      </c>
      <c r="D86" s="157">
        <f ca="1">FORECAST(C86, OFFSET(Design!$C$15:$C$17,MATCH(C86,Design!$B$15:$B$17,1)-1,0,2), OFFSET(Design!$B$15:$B$17,MATCH(C86,Design!$B$15:$B$17,1)-1,0,2))+(M86-25)*Design!$B$18/1000</f>
        <v>0.42644027155716491</v>
      </c>
      <c r="E86" s="216">
        <f ca="1">IF(100*(Design!$C$28+D86+C86*IF(ISBLANK(Design!$B$40),Constants!$C$6,Design!$B$40)/1000*(1+Constants!$C$31/100*(N86-25)))/($B86+D86-C86*O86/1000)&gt;Design!$C$35,Design!$C$35,100*(Design!$C$28+D86+C86*IF(ISBLANK(Design!$B$40),Constants!$C$6,Design!$B$40)/1000*(1+Constants!$C$31/100*(N86-25)))/($B86+D86-C86*O86/1000))</f>
        <v>87</v>
      </c>
      <c r="F86" s="158">
        <f ca="1">IF(($B86-C86*IF(ISBLANK(Design!$B$40),Constants!$C$6,Design!$B$40)/1000*(1+Constants!$C$31/100*(N86-25))-Design!$C$28)/(IF(ISBLANK(Design!$B$39),Design!$B$38,Design!$B$39)/1000000)*E86/100/(IF(ISBLANK(Design!$B$32),Design!$B$31,Design!$B$32)*1000000)&lt;0,0,($B86-C86*IF(ISBLANK(Design!$B$40),Constants!$C$6,Design!$B$40)/1000*(1+Constants!$C$31/100*(N86-25))-Design!$C$28)/(IF(ISBLANK(Design!$B$39),Design!$B$38,Design!$B$39)/1000000)*E86/100/(IF(ISBLANK(Design!$B$32),Design!$B$31,Design!$B$32)*1000000))</f>
        <v>0.11457322049439927</v>
      </c>
      <c r="G86" s="208">
        <f>B86*Constants!$C$18/1000+IF(ISBLANK(Design!$B$32),Design!$B$31,Design!$B$32)*1000000*Constants!$D$22/1000000000*(B86-Constants!$C$21)</f>
        <v>2.0650000000000009E-3</v>
      </c>
      <c r="H86" s="208">
        <f>B86*C86*(B86/(Constants!$C$23*1000000000)*IF(ISBLANK(Design!$B$32),Design!$B$31,Design!$B$32)*1000000/2+B86/(Constants!$C$24*1000000000)*IF(ISBLANK(Design!$B$32),Design!$B$31,Design!$B$32)*1000000/2)</f>
        <v>6.7888702302631582E-2</v>
      </c>
      <c r="I86" s="208">
        <f t="shared" ca="1" si="13"/>
        <v>1.4989929983335395</v>
      </c>
      <c r="J86" s="208">
        <f>Constants!$D$22/1000000000*Constants!$C$21*IF(ISBLANK(Design!$B$32),Design!$B$31,Design!$B$32)*1000000</f>
        <v>4.9999999999999996E-2</v>
      </c>
      <c r="K86" s="208">
        <f t="shared" ca="1" si="22"/>
        <v>1.6189467006361711</v>
      </c>
      <c r="L86" s="208">
        <f t="shared" ca="1" si="17"/>
        <v>0.19403032355851005</v>
      </c>
      <c r="M86" s="209">
        <f ca="1">$A86+L86*Design!$B$19</f>
        <v>96.05972844283508</v>
      </c>
      <c r="N86" s="209">
        <f ca="1">K86*Design!$C$12+A86</f>
        <v>140.04418782162981</v>
      </c>
      <c r="O86" s="209">
        <f ca="1">Constants!$D$19+Constants!$D$19*Constants!$C$20/100*(N86-25)</f>
        <v>140.63890696673292</v>
      </c>
      <c r="P86" s="208">
        <f ca="1">(1-Constants!$D$17/1000000000*Design!$B$32*1000000) * ($B86+D86-C86*O86/1000) - (D86+C86*(1+($A86-25)*Constants!$C$31/100)*IF(ISBLANK(Design!$B$40),Constants!$C$6/1000,Design!$B$40/1000))</f>
        <v>2.4808488422947708</v>
      </c>
      <c r="Q86" s="333">
        <f ca="1">IF(P86&gt;Design!$C$28,Design!$C$28,P86)</f>
        <v>2.4808488422947708</v>
      </c>
      <c r="R86" s="159">
        <f>2*Design!$D$6/3</f>
        <v>2.3333333333333335</v>
      </c>
      <c r="S86" s="159">
        <f ca="1">FORECAST(R86, OFFSET(Design!$C$15:$C$17,MATCH(R86,Design!$B$15:$B$17,1)-1,0,2), OFFSET(Design!$B$15:$B$17,MATCH(R86,Design!$B$15:$B$17,1)-1,0,2))+(AB86-25)*Design!$B$18/1000</f>
        <v>0.40139324414211619</v>
      </c>
      <c r="T86" s="225">
        <f ca="1">IF(100*(Design!$C$28+S86+R86*IF(ISBLANK(Design!$B$40),Constants!$C$6,Design!$B$40)/1000*(1+Constants!$C$31/100*(AC86-25)))/($B86+S86-R86*AD86/1000)&gt;Design!$C$35,Design!$C$35,100*(Design!$C$28+S86+R86*IF(ISBLANK(Design!$B$40),Constants!$C$6,Design!$B$40)/1000*(1+Constants!$C$31/100*(AC86-25)))/($B86+S86-R86*AD86/1000))</f>
        <v>87</v>
      </c>
      <c r="U86" s="160">
        <f ca="1">IF(($B86-R86*IF(ISBLANK(Design!$B$40),Constants!$C$6,Design!$B$40)/1000*(1+Constants!$C$31/100*(AC86-25))-Design!$C$28)/(IF(ISBLANK(Design!$B$39),Design!$B$38,Design!$B$39)/1000000)*T86/100/(IF(ISBLANK(Design!$B$32),Design!$B$31,Design!$B$32)*1000000)&lt;0,0,($B86-R86*IF(ISBLANK(Design!$B$40),Constants!$C$6,Design!$B$40)/1000*(1+Constants!$C$31/100*(AC86-25))-Design!$C$28)/(IF(ISBLANK(Design!$B$39),Design!$B$38,Design!$B$39)/1000000)*T86/100/(IF(ISBLANK(Design!$B$32),Design!$B$31,Design!$B$32)*1000000))</f>
        <v>0.12242342894980303</v>
      </c>
      <c r="V86" s="226">
        <f>$B86*Constants!$C$18/1000+IF(ISBLANK(Design!$B$32),Design!$B$31,Design!$B$32)*1000000*Constants!$D$22/1000000000*($B86-Constants!$C$21)</f>
        <v>2.0650000000000009E-3</v>
      </c>
      <c r="W86" s="226">
        <f>$B86*R86*($B86/(Constants!$C$23*1000000000)*IF(ISBLANK(Design!$B$32),Design!$B$31,Design!$B$32)*1000000/2+$B86/(Constants!$C$24*1000000000)*IF(ISBLANK(Design!$B$32),Design!$B$31,Design!$B$32)*1000000/2)</f>
        <v>4.5259134868421057E-2</v>
      </c>
      <c r="X86" s="226">
        <f t="shared" ca="1" si="14"/>
        <v>0.58838144608005627</v>
      </c>
      <c r="Y86" s="226">
        <f>Constants!$D$22/1000000000*Constants!$C$21*IF(ISBLANK(Design!$B$32),Design!$B$31,Design!$B$32)*1000000</f>
        <v>4.9999999999999996E-2</v>
      </c>
      <c r="Z86" s="226">
        <f t="shared" ca="1" si="23"/>
        <v>0.68570558094847733</v>
      </c>
      <c r="AA86" s="226">
        <f t="shared" ca="1" si="19"/>
        <v>0.12175595072310859</v>
      </c>
      <c r="AB86" s="227">
        <f ca="1">$A86+AA86*Design!$B$19</f>
        <v>91.940089191217183</v>
      </c>
      <c r="AC86" s="227">
        <f ca="1">Z86*Design!$C$12+$A86</f>
        <v>108.31398975224823</v>
      </c>
      <c r="AD86" s="227">
        <f ca="1">Constants!$D$19+Constants!$D$19*Constants!$C$20/100*(AC86-25)</f>
        <v>124.1899722875655</v>
      </c>
      <c r="AE86" s="226">
        <f ca="1">(1-Constants!$D$17/1000000000*Design!$B$32*1000000) * ($B86+S86-R86*AD86/1000) - (S86+R86*(1+($A86-25)*Constants!$C$31/100)*IF(ISBLANK(Design!$B$40),Constants!$C$6/1000,Design!$B$40/1000))</f>
        <v>2.6695647372159428</v>
      </c>
      <c r="AF86" s="333">
        <f ca="1">IF(AE86&gt;Design!$C$28,Design!$C$28,AE86)</f>
        <v>2.6695647372159428</v>
      </c>
      <c r="AG86" s="161">
        <f>Design!$D$6/3</f>
        <v>1.1666666666666667</v>
      </c>
      <c r="AH86" s="161">
        <f ca="1">FORECAST(AG86, OFFSET(Design!$C$15:$C$17,MATCH(AG86,Design!$B$15:$B$17,1)-1,0,2), OFFSET(Design!$B$15:$B$17,MATCH(AG86,Design!$B$15:$B$17,1)-1,0,2))+(AQ86-25)*Design!$B$18/1000</f>
        <v>0.33231234496298023</v>
      </c>
      <c r="AI86" s="239">
        <f ca="1">IF(100*(Design!$C$28+AH86+AG86*IF(ISBLANK(Design!$B$40),Constants!$C$6,Design!$B$40)/1000*(1+Constants!$C$31/100*(AR86-25)))/($B86+AH86-AG86*AS86/1000)&gt;Design!$C$35,Design!$C$35,100*(Design!$C$28+AH86+AG86*IF(ISBLANK(Design!$B$40),Constants!$C$6,Design!$B$40)/1000*(1+Constants!$C$31/100*(AR86-25)))/($B86+AH86-AG86*AS86/1000))</f>
        <v>87</v>
      </c>
      <c r="AJ86" s="162">
        <f ca="1">IF(($B86-AG86*IF(ISBLANK(Design!$B$40),Constants!$C$6,Design!$B$40)/1000*(1+Constants!$C$31/100*(AR86-25))-Design!$C$28)/(IF(ISBLANK(Design!$B$39),Design!$B$38,Design!$B$39)/1000000)*AI86/100/(IF(ISBLANK(Design!$B$32),Design!$B$31,Design!$B$32)*1000000)&lt;0,0,($B86-AG86*IF(ISBLANK(Design!$B$40),Constants!$C$6,Design!$B$40)/1000*(1+Constants!$C$31/100*(AR86-25))-Design!$C$28)/(IF(ISBLANK(Design!$B$39),Design!$B$38,Design!$B$39)/1000000)*AI86/100/(IF(ISBLANK(Design!$B$32),Design!$B$31,Design!$B$32)*1000000))</f>
        <v>0.12883970230261146</v>
      </c>
      <c r="AK86" s="240">
        <f>$B86*Constants!$C$18/1000+IF(ISBLANK(Design!$B$32),Design!$B$31,Design!$B$32)*1000000*Constants!$D$22/1000000000*($B86-Constants!$C$21)</f>
        <v>2.0650000000000009E-3</v>
      </c>
      <c r="AL86" s="240">
        <f>$B86*AG86*($B86/(Constants!$C$23*1000000000)*IF(ISBLANK(Design!$B$32),Design!$B$31,Design!$B$32)*1000000/2+$B86/(Constants!$C$24*1000000000)*IF(ISBLANK(Design!$B$32),Design!$B$31,Design!$B$32)*1000000/2)</f>
        <v>2.2629567434210528E-2</v>
      </c>
      <c r="AM86" s="240">
        <f t="shared" ca="1" si="15"/>
        <v>0.13731420405144273</v>
      </c>
      <c r="AN86" s="240">
        <f>Constants!$D$22/1000000000*Constants!$C$21*IF(ISBLANK(Design!$B$32),Design!$B$31,Design!$B$32)*1000000</f>
        <v>4.9999999999999996E-2</v>
      </c>
      <c r="AO86" s="240">
        <f t="shared" ca="1" si="24"/>
        <v>0.21200877148565325</v>
      </c>
      <c r="AP86" s="240">
        <f t="shared" ca="1" si="21"/>
        <v>5.0400705652718668E-2</v>
      </c>
      <c r="AQ86" s="241">
        <f ca="1">$A86+AP86*Design!$B$19</f>
        <v>87.872840222204971</v>
      </c>
      <c r="AR86" s="241">
        <f ca="1">AO86*Design!$C$12+$A86</f>
        <v>92.208298230512213</v>
      </c>
      <c r="AS86" s="241">
        <f ca="1">Constants!$D$19+Constants!$D$19*Constants!$C$20/100*(AR86-25)</f>
        <v>115.84078180269753</v>
      </c>
      <c r="AT86" s="240">
        <f ca="1">(1-Constants!$D$17/1000000000*Design!$B$32*1000000) * ($B86+AH86-AG86*AS86/1000) - (AH86+AG86*(1+($A86-25)*Constants!$C$31/100)*IF(ISBLANK(Design!$B$40),Constants!$C$6/1000,Design!$B$40/1000))</f>
        <v>2.8324975440104923</v>
      </c>
      <c r="AU86" s="333">
        <f ca="1">IF(AT86&gt;Design!$C$28,Design!$C$28,AT86)</f>
        <v>2.8324975440104923</v>
      </c>
    </row>
    <row r="87" spans="1:47" ht="12.75" customHeight="1" thickBot="1">
      <c r="A87" s="164">
        <f>Design!$D$13</f>
        <v>85</v>
      </c>
      <c r="B87" s="165">
        <f>Constants!$C$7</f>
        <v>3.8</v>
      </c>
      <c r="C87" s="166">
        <f>Design!$D$6</f>
        <v>3.5</v>
      </c>
      <c r="D87" s="166">
        <f ca="1">FORECAST(C87, OFFSET(Design!$C$15:$C$17,MATCH(C87,Design!$B$15:$B$17,1)-1,0,2), OFFSET(Design!$B$15:$B$17,MATCH(C87,Design!$B$15:$B$17,1)-1,0,2))+(M87-25)*Design!$B$18/1000</f>
        <v>0.42644027155716491</v>
      </c>
      <c r="E87" s="217">
        <f ca="1">IF(100*(Design!$C$28+D87+C87*IF(ISBLANK(Design!$B$40),Constants!$C$6,Design!$B$40)/1000*(1+Constants!$C$31/100*(N87-25)))/($B87+D87-C87*O87/1000)&gt;Design!$C$35,Design!$C$35,100*(Design!$C$28+D87+C87*IF(ISBLANK(Design!$B$40),Constants!$C$6,Design!$B$40)/1000*(1+Constants!$C$31/100*(N87-25)))/($B87+D87-C87*O87/1000))</f>
        <v>87</v>
      </c>
      <c r="F87" s="167">
        <f ca="1">IF(($B87-C87*IF(ISBLANK(Design!$B$40),Constants!$C$6,Design!$B$40)/1000*(1+Constants!$C$31/100*(N87-25))-Design!$C$28)/(IF(ISBLANK(Design!$B$39),Design!$B$38,Design!$B$39)/1000000)*E87/100/(IF(ISBLANK(Design!$B$32),Design!$B$31,Design!$B$32)*1000000)&lt;0,0,($B87-C87*IF(ISBLANK(Design!$B$40),Constants!$C$6,Design!$B$40)/1000*(1+Constants!$C$31/100*(N87-25))-Design!$C$28)/(IF(ISBLANK(Design!$B$39),Design!$B$38,Design!$B$39)/1000000)*E87/100/(IF(ISBLANK(Design!$B$32),Design!$B$31,Design!$B$32)*1000000))</f>
        <v>7.4060797025672032E-2</v>
      </c>
      <c r="G87" s="210">
        <f>B87*Constants!$C$18/1000+IF(ISBLANK(Design!$B$32),Design!$B$31,Design!$B$32)*1000000*Constants!$D$22/1000000000*(B87-Constants!$C$21)</f>
        <v>-6.0000000000000331E-4</v>
      </c>
      <c r="H87" s="210">
        <f>B87*C87*(B87/(Constants!$C$23*1000000000)*IF(ISBLANK(Design!$B$32),Design!$B$31,Design!$B$32)*1000000/2+B87/(Constants!$C$24*1000000000)*IF(ISBLANK(Design!$B$32),Design!$B$31,Design!$B$32)*1000000/2)</f>
        <v>6.1116666666666659E-2</v>
      </c>
      <c r="I87" s="210">
        <f t="shared" ca="1" si="13"/>
        <v>1.4967142453780091</v>
      </c>
      <c r="J87" s="210">
        <f>Constants!$D$22/1000000000*Constants!$C$21*IF(ISBLANK(Design!$B$32),Design!$B$31,Design!$B$32)*1000000</f>
        <v>4.9999999999999996E-2</v>
      </c>
      <c r="K87" s="210">
        <f t="shared" ca="1" si="22"/>
        <v>1.6072309120446757</v>
      </c>
      <c r="L87" s="210">
        <f t="shared" ca="1" si="17"/>
        <v>0.19403032355851005</v>
      </c>
      <c r="M87" s="211">
        <f ca="1">$A87+L87*Design!$B$19</f>
        <v>96.05972844283508</v>
      </c>
      <c r="N87" s="211">
        <f ca="1">K87*Design!$C$12+A87</f>
        <v>139.64585100951899</v>
      </c>
      <c r="O87" s="211">
        <f ca="1">Constants!$D$19+Constants!$D$19*Constants!$C$20/100*(N87-25)</f>
        <v>140.43240916333465</v>
      </c>
      <c r="P87" s="210">
        <f ca="1">(1-Constants!$D$17/1000000000*Design!$B$32*1000000) * ($B87+D87-C87*O87/1000) - (D87+C87*(1+($A87-25)*Constants!$C$31/100)*IF(ISBLANK(Design!$B$40),Constants!$C$6/1000,Design!$B$40/1000))</f>
        <v>2.3255981264518102</v>
      </c>
      <c r="Q87" s="334">
        <f ca="1">IF(P87&gt;Design!$C$28,Design!$C$28,P87)</f>
        <v>2.3255981264518102</v>
      </c>
      <c r="R87" s="168">
        <f>2*Design!$D$6/3</f>
        <v>2.3333333333333335</v>
      </c>
      <c r="S87" s="168">
        <f ca="1">FORECAST(R87, OFFSET(Design!$C$15:$C$17,MATCH(R87,Design!$B$15:$B$17,1)-1,0,2), OFFSET(Design!$B$15:$B$17,MATCH(R87,Design!$B$15:$B$17,1)-1,0,2))+(AB87-25)*Design!$B$18/1000</f>
        <v>0.40139324414211619</v>
      </c>
      <c r="T87" s="229">
        <f ca="1">IF(100*(Design!$C$28+S87+R87*IF(ISBLANK(Design!$B$40),Constants!$C$6,Design!$B$40)/1000*(1+Constants!$C$31/100*(AC87-25)))/($B87+S87-R87*AD87/1000)&gt;Design!$C$35,Design!$C$35,100*(Design!$C$28+S87+R87*IF(ISBLANK(Design!$B$40),Constants!$C$6,Design!$B$40)/1000*(1+Constants!$C$31/100*(AC87-25)))/($B87+S87-R87*AD87/1000))</f>
        <v>87</v>
      </c>
      <c r="U87" s="169">
        <f ca="1">IF(($B87-R87*IF(ISBLANK(Design!$B$40),Constants!$C$6,Design!$B$40)/1000*(1+Constants!$C$31/100*(AC87-25))-Design!$C$28)/(IF(ISBLANK(Design!$B$39),Design!$B$38,Design!$B$39)/1000000)*T87/100/(IF(ISBLANK(Design!$B$32),Design!$B$31,Design!$B$32)*1000000)&lt;0,0,($B87-R87*IF(ISBLANK(Design!$B$40),Constants!$C$6,Design!$B$40)/1000*(1+Constants!$C$31/100*(AC87-25))-Design!$C$28)/(IF(ISBLANK(Design!$B$39),Design!$B$38,Design!$B$39)/1000000)*T87/100/(IF(ISBLANK(Design!$B$32),Design!$B$31,Design!$B$32)*1000000))</f>
        <v>8.1899096968419904E-2</v>
      </c>
      <c r="V87" s="230">
        <f>$B87*Constants!$C$18/1000+IF(ISBLANK(Design!$B$32),Design!$B$31,Design!$B$32)*1000000*Constants!$D$22/1000000000*($B87-Constants!$C$21)</f>
        <v>-6.0000000000000331E-4</v>
      </c>
      <c r="W87" s="230">
        <f>$B87*R87*($B87/(Constants!$C$23*1000000000)*IF(ISBLANK(Design!$B$32),Design!$B$31,Design!$B$32)*1000000/2+$B87/(Constants!$C$24*1000000000)*IF(ISBLANK(Design!$B$32),Design!$B$31,Design!$B$32)*1000000/2)</f>
        <v>4.0744444444444444E-2</v>
      </c>
      <c r="X87" s="230">
        <f t="shared" ca="1" si="14"/>
        <v>0.58764602064451466</v>
      </c>
      <c r="Y87" s="230">
        <f>Constants!$D$22/1000000000*Constants!$C$21*IF(ISBLANK(Design!$B$32),Design!$B$31,Design!$B$32)*1000000</f>
        <v>4.9999999999999996E-2</v>
      </c>
      <c r="Z87" s="230">
        <f t="shared" ca="1" si="23"/>
        <v>0.67779046508895913</v>
      </c>
      <c r="AA87" s="230">
        <f t="shared" ca="1" si="19"/>
        <v>0.12175595072310859</v>
      </c>
      <c r="AB87" s="231">
        <f ca="1">$A87+AA87*Design!$B$19</f>
        <v>91.940089191217183</v>
      </c>
      <c r="AC87" s="231">
        <f ca="1">Z87*Design!$C$12+$A87</f>
        <v>108.04487581302462</v>
      </c>
      <c r="AD87" s="231">
        <f ca="1">Constants!$D$19+Constants!$D$19*Constants!$C$20/100*(AC87-25)</f>
        <v>124.05046362147198</v>
      </c>
      <c r="AE87" s="230">
        <f ca="1">(1-Constants!$D$17/1000000000*Design!$B$32*1000000) * ($B87+S87-R87*AD87/1000) - (S87+R87*(1+($A87-25)*Constants!$C$31/100)*IF(ISBLANK(Design!$B$40),Constants!$C$6/1000,Design!$B$40/1000))</f>
        <v>2.5140121325838152</v>
      </c>
      <c r="AF87" s="334">
        <f ca="1">IF(AE87&gt;Design!$C$28,Design!$C$28,AE87)</f>
        <v>2.5140121325838152</v>
      </c>
      <c r="AG87" s="170">
        <f>Design!$D$6/3</f>
        <v>1.1666666666666667</v>
      </c>
      <c r="AH87" s="170">
        <f ca="1">FORECAST(AG87, OFFSET(Design!$C$15:$C$17,MATCH(AG87,Design!$B$15:$B$17,1)-1,0,2), OFFSET(Design!$B$15:$B$17,MATCH(AG87,Design!$B$15:$B$17,1)-1,0,2))+(AQ87-25)*Design!$B$18/1000</f>
        <v>0.33231234496298023</v>
      </c>
      <c r="AI87" s="243">
        <f ca="1">IF(100*(Design!$C$28+AH87+AG87*IF(ISBLANK(Design!$B$40),Constants!$C$6,Design!$B$40)/1000*(1+Constants!$C$31/100*(AR87-25)))/($B87+AH87-AG87*AS87/1000)&gt;Design!$C$35,Design!$C$35,100*(Design!$C$28+AH87+AG87*IF(ISBLANK(Design!$B$40),Constants!$C$6,Design!$B$40)/1000*(1+Constants!$C$31/100*(AR87-25)))/($B87+AH87-AG87*AS87/1000))</f>
        <v>87</v>
      </c>
      <c r="AJ87" s="171">
        <f ca="1">IF(($B87-AG87*IF(ISBLANK(Design!$B$40),Constants!$C$6,Design!$B$40)/1000*(1+Constants!$C$31/100*(AR87-25))-Design!$C$28)/(IF(ISBLANK(Design!$B$39),Design!$B$38,Design!$B$39)/1000000)*AI87/100/(IF(ISBLANK(Design!$B$32),Design!$B$31,Design!$B$32)*1000000)&lt;0,0,($B87-AG87*IF(ISBLANK(Design!$B$40),Constants!$C$6,Design!$B$40)/1000*(1+Constants!$C$31/100*(AR87-25))-Design!$C$28)/(IF(ISBLANK(Design!$B$39),Design!$B$38,Design!$B$39)/1000000)*AI87/100/(IF(ISBLANK(Design!$B$32),Design!$B$31,Design!$B$32)*1000000))</f>
        <v>8.8308757148011452E-2</v>
      </c>
      <c r="AK87" s="244">
        <f>$B87*Constants!$C$18/1000+IF(ISBLANK(Design!$B$32),Design!$B$31,Design!$B$32)*1000000*Constants!$D$22/1000000000*($B87-Constants!$C$21)</f>
        <v>-6.0000000000000331E-4</v>
      </c>
      <c r="AL87" s="244">
        <f>$B87*AG87*($B87/(Constants!$C$23*1000000000)*IF(ISBLANK(Design!$B$32),Design!$B$31,Design!$B$32)*1000000/2+$B87/(Constants!$C$24*1000000000)*IF(ISBLANK(Design!$B$32),Design!$B$31,Design!$B$32)*1000000/2)</f>
        <v>2.0372222222222222E-2</v>
      </c>
      <c r="AM87" s="244">
        <f t="shared" ca="1" si="15"/>
        <v>0.13713373223133343</v>
      </c>
      <c r="AN87" s="244">
        <f>Constants!$D$22/1000000000*Constants!$C$21*IF(ISBLANK(Design!$B$32),Design!$B$31,Design!$B$32)*1000000</f>
        <v>4.9999999999999996E-2</v>
      </c>
      <c r="AO87" s="244">
        <f t="shared" ca="1" si="24"/>
        <v>0.20690595445355564</v>
      </c>
      <c r="AP87" s="244">
        <f t="shared" ca="1" si="21"/>
        <v>5.0400705652718668E-2</v>
      </c>
      <c r="AQ87" s="245">
        <f ca="1">$A87+AP87*Design!$B$19</f>
        <v>87.872840222204971</v>
      </c>
      <c r="AR87" s="245">
        <f ca="1">AO87*Design!$C$12+$A87</f>
        <v>92.034802451420887</v>
      </c>
      <c r="AS87" s="245">
        <f ca="1">Constants!$D$19+Constants!$D$19*Constants!$C$20/100*(AR87-25)</f>
        <v>115.75084159081659</v>
      </c>
      <c r="AT87" s="244">
        <f ca="1">(1-Constants!$D$17/1000000000*Design!$B$32*1000000) * ($B87+AH87-AG87*AS87/1000) - (AH87+AG87*(1+($A87-25)*Constants!$C$31/100)*IF(ISBLANK(Design!$B$40),Constants!$C$6/1000,Design!$B$40/1000))</f>
        <v>2.67677729099836</v>
      </c>
      <c r="AU87" s="334">
        <f ca="1">IF(AT87&gt;Design!$C$28,Design!$C$28,AT87)</f>
        <v>2.67677729099836</v>
      </c>
    </row>
    <row r="88" spans="1:47">
      <c r="AT88" s="173" t="s">
        <v>228</v>
      </c>
      <c r="AU88" s="173">
        <f>(Design!C4-Constants!C7)/40</f>
        <v>0.20499999999999999</v>
      </c>
    </row>
    <row r="112" ht="15.75" thickBot="1"/>
    <row r="113" spans="2:9">
      <c r="B113" s="249" t="s">
        <v>230</v>
      </c>
      <c r="C113" s="196"/>
      <c r="D113" s="196"/>
      <c r="E113" s="191"/>
      <c r="F113" s="191"/>
      <c r="H113" s="303">
        <f>Design!B4</f>
        <v>8</v>
      </c>
      <c r="I113" s="304">
        <v>1</v>
      </c>
    </row>
    <row r="114" spans="2:9" ht="15.75" thickBot="1">
      <c r="B114" s="247" t="s">
        <v>255</v>
      </c>
      <c r="C114" s="197"/>
      <c r="D114" s="197"/>
      <c r="E114" s="192"/>
      <c r="F114" s="195"/>
      <c r="H114" s="305">
        <f>Design!B4</f>
        <v>8</v>
      </c>
      <c r="I114" s="306">
        <v>8</v>
      </c>
    </row>
    <row r="115" spans="2:9">
      <c r="B115" s="407" t="s">
        <v>231</v>
      </c>
      <c r="C115" s="407"/>
      <c r="D115" s="172">
        <v>0</v>
      </c>
      <c r="F115" s="11"/>
    </row>
  </sheetData>
  <sheetProtection password="83AF" sheet="1" objects="1" scenarios="1"/>
  <mergeCells count="2">
    <mergeCell ref="A1:AU1"/>
    <mergeCell ref="B115:C1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52"/>
  <sheetViews>
    <sheetView zoomScaleNormal="100" workbookViewId="0">
      <selection activeCell="C7" sqref="C7"/>
    </sheetView>
  </sheetViews>
  <sheetFormatPr defaultRowHeight="15"/>
  <cols>
    <col min="1" max="1" width="20.7109375" style="1" customWidth="1"/>
    <col min="2" max="5" width="9.140625" style="1"/>
    <col min="6" max="6" width="18.7109375" customWidth="1"/>
  </cols>
  <sheetData>
    <row r="1" spans="1:9" ht="24" customHeight="1" thickBot="1">
      <c r="A1" s="406" t="s">
        <v>195</v>
      </c>
      <c r="B1" s="406"/>
      <c r="C1" s="406"/>
      <c r="D1" s="406"/>
      <c r="E1" s="406"/>
      <c r="F1" s="406"/>
      <c r="G1" s="406"/>
      <c r="H1" s="406"/>
      <c r="I1" s="406"/>
    </row>
    <row r="2" spans="1:9" s="2" customFormat="1" ht="18" customHeight="1">
      <c r="A2" s="33" t="s">
        <v>1</v>
      </c>
      <c r="B2" s="34" t="s">
        <v>33</v>
      </c>
      <c r="C2" s="34" t="s">
        <v>34</v>
      </c>
      <c r="D2" s="34" t="s">
        <v>35</v>
      </c>
      <c r="E2" s="34" t="s">
        <v>36</v>
      </c>
      <c r="F2" s="408" t="s">
        <v>38</v>
      </c>
      <c r="G2" s="408"/>
      <c r="H2" s="408"/>
      <c r="I2" s="409"/>
    </row>
    <row r="3" spans="1:9">
      <c r="A3" s="35" t="s">
        <v>22</v>
      </c>
      <c r="B3" s="36">
        <v>0.78800000000000003</v>
      </c>
      <c r="C3" s="36">
        <v>0.8</v>
      </c>
      <c r="D3" s="36">
        <v>0.81200000000000006</v>
      </c>
      <c r="E3" s="37" t="s">
        <v>2</v>
      </c>
      <c r="F3" s="38" t="s">
        <v>58</v>
      </c>
      <c r="G3" s="39"/>
      <c r="H3" s="39"/>
      <c r="I3" s="40"/>
    </row>
    <row r="4" spans="1:9">
      <c r="A4" s="35" t="s">
        <v>27</v>
      </c>
      <c r="B4" s="41">
        <f>100*(B3-C3)/C3</f>
        <v>-1.5000000000000013</v>
      </c>
      <c r="C4" s="42" t="s">
        <v>24</v>
      </c>
      <c r="D4" s="41">
        <f>100*(D3-C3)/C3</f>
        <v>1.5000000000000013</v>
      </c>
      <c r="E4" s="43" t="s">
        <v>26</v>
      </c>
      <c r="F4" s="38" t="s">
        <v>51</v>
      </c>
      <c r="G4" s="39"/>
      <c r="H4" s="39"/>
      <c r="I4" s="40"/>
    </row>
    <row r="5" spans="1:9">
      <c r="A5" s="35" t="s">
        <v>81</v>
      </c>
      <c r="B5" s="42" t="s">
        <v>24</v>
      </c>
      <c r="C5" s="42">
        <v>4</v>
      </c>
      <c r="D5" s="42" t="s">
        <v>24</v>
      </c>
      <c r="E5" s="43" t="s">
        <v>69</v>
      </c>
      <c r="F5" s="38" t="s">
        <v>108</v>
      </c>
      <c r="G5" s="39"/>
      <c r="H5" s="39"/>
      <c r="I5" s="40"/>
    </row>
    <row r="6" spans="1:9" ht="18">
      <c r="A6" s="35" t="s">
        <v>226</v>
      </c>
      <c r="B6" s="42" t="s">
        <v>24</v>
      </c>
      <c r="C6" s="42">
        <v>35</v>
      </c>
      <c r="D6" s="42" t="s">
        <v>24</v>
      </c>
      <c r="E6" s="43" t="s">
        <v>126</v>
      </c>
      <c r="F6" s="38" t="s">
        <v>227</v>
      </c>
      <c r="G6" s="39"/>
      <c r="H6" s="39"/>
      <c r="I6" s="40"/>
    </row>
    <row r="7" spans="1:9">
      <c r="A7" s="35" t="s">
        <v>221</v>
      </c>
      <c r="B7" s="42" t="s">
        <v>24</v>
      </c>
      <c r="C7" s="330">
        <v>3.8</v>
      </c>
      <c r="D7" s="335">
        <v>4.2</v>
      </c>
      <c r="E7" s="43" t="s">
        <v>2</v>
      </c>
      <c r="F7" s="38" t="s">
        <v>60</v>
      </c>
      <c r="G7" s="39"/>
      <c r="H7" s="39"/>
      <c r="I7" s="40"/>
    </row>
    <row r="8" spans="1:9">
      <c r="A8" s="35" t="s">
        <v>37</v>
      </c>
      <c r="B8" s="44">
        <v>280</v>
      </c>
      <c r="C8" s="42" t="s">
        <v>24</v>
      </c>
      <c r="D8" s="42" t="s">
        <v>24</v>
      </c>
      <c r="E8" s="43" t="s">
        <v>21</v>
      </c>
      <c r="F8" s="38" t="s">
        <v>60</v>
      </c>
      <c r="G8" s="39"/>
      <c r="H8" s="39"/>
      <c r="I8" s="40"/>
    </row>
    <row r="9" spans="1:9">
      <c r="A9" s="35" t="s">
        <v>172</v>
      </c>
      <c r="B9" s="42" t="s">
        <v>24</v>
      </c>
      <c r="C9" s="42">
        <v>0.5</v>
      </c>
      <c r="D9" s="42" t="s">
        <v>24</v>
      </c>
      <c r="E9" s="42" t="s">
        <v>24</v>
      </c>
      <c r="F9" s="38" t="s">
        <v>173</v>
      </c>
      <c r="G9" s="39"/>
      <c r="H9" s="39"/>
      <c r="I9" s="40"/>
    </row>
    <row r="10" spans="1:9">
      <c r="A10" s="35" t="s">
        <v>10</v>
      </c>
      <c r="B10" s="42" t="s">
        <v>24</v>
      </c>
      <c r="C10" s="37">
        <v>56</v>
      </c>
      <c r="D10" s="42" t="s">
        <v>24</v>
      </c>
      <c r="E10" s="43" t="s">
        <v>11</v>
      </c>
      <c r="F10" s="38" t="s">
        <v>60</v>
      </c>
      <c r="G10" s="39"/>
      <c r="H10" s="39"/>
      <c r="I10" s="40"/>
    </row>
    <row r="11" spans="1:9">
      <c r="A11" s="35" t="s">
        <v>12</v>
      </c>
      <c r="B11" s="37">
        <v>550</v>
      </c>
      <c r="C11" s="37">
        <v>750</v>
      </c>
      <c r="D11" s="37">
        <v>1000</v>
      </c>
      <c r="E11" s="43" t="s">
        <v>120</v>
      </c>
      <c r="F11" s="38" t="s">
        <v>60</v>
      </c>
      <c r="G11" s="39"/>
      <c r="H11" s="39"/>
      <c r="I11" s="40"/>
    </row>
    <row r="12" spans="1:9">
      <c r="A12" s="35" t="s">
        <v>87</v>
      </c>
      <c r="B12" s="41">
        <f>POWER(10,$C$10/20)/(D11/1000000)/1000000</f>
        <v>0.63095734448019325</v>
      </c>
      <c r="C12" s="41">
        <f>POWER(10,$C$10/20)/(C11/1000000)/1000000</f>
        <v>0.8412764593069243</v>
      </c>
      <c r="D12" s="41">
        <f>POWER(10,$C$10/20)/(B11/1000000)/1000000</f>
        <v>1.1471951717821696</v>
      </c>
      <c r="E12" s="43" t="s">
        <v>88</v>
      </c>
      <c r="F12" s="38" t="s">
        <v>51</v>
      </c>
      <c r="G12" s="39"/>
      <c r="H12" s="39"/>
      <c r="I12" s="40"/>
    </row>
    <row r="13" spans="1:9">
      <c r="A13" s="35" t="s">
        <v>0</v>
      </c>
      <c r="B13" s="42" t="s">
        <v>24</v>
      </c>
      <c r="C13" s="120">
        <v>5</v>
      </c>
      <c r="D13" s="42" t="s">
        <v>24</v>
      </c>
      <c r="E13" s="43" t="s">
        <v>3</v>
      </c>
      <c r="F13" s="38" t="s">
        <v>60</v>
      </c>
      <c r="G13" s="39"/>
      <c r="H13" s="39"/>
      <c r="I13" s="40"/>
    </row>
    <row r="14" spans="1:9">
      <c r="A14" s="35" t="s">
        <v>219</v>
      </c>
      <c r="B14" s="142">
        <v>0.25</v>
      </c>
      <c r="C14" s="42" t="s">
        <v>24</v>
      </c>
      <c r="D14" s="142">
        <v>2.4</v>
      </c>
      <c r="E14" s="43" t="s">
        <v>17</v>
      </c>
      <c r="F14" s="38" t="s">
        <v>58</v>
      </c>
      <c r="G14" s="39"/>
      <c r="H14" s="39"/>
      <c r="I14" s="40"/>
    </row>
    <row r="15" spans="1:9">
      <c r="A15" s="35" t="s">
        <v>41</v>
      </c>
      <c r="B15" s="42">
        <v>-10</v>
      </c>
      <c r="C15" s="42" t="s">
        <v>24</v>
      </c>
      <c r="D15" s="42">
        <v>10</v>
      </c>
      <c r="E15" s="43" t="s">
        <v>26</v>
      </c>
      <c r="F15" s="38" t="s">
        <v>58</v>
      </c>
      <c r="G15" s="39"/>
      <c r="H15" s="39"/>
      <c r="I15" s="40"/>
    </row>
    <row r="16" spans="1:9" ht="18">
      <c r="A16" s="35" t="s">
        <v>115</v>
      </c>
      <c r="B16" s="42" t="s">
        <v>24</v>
      </c>
      <c r="C16" s="42">
        <v>65</v>
      </c>
      <c r="D16" s="37">
        <v>90</v>
      </c>
      <c r="E16" s="43" t="s">
        <v>4</v>
      </c>
      <c r="F16" s="38" t="s">
        <v>113</v>
      </c>
      <c r="G16" s="39"/>
      <c r="H16" s="39"/>
      <c r="I16" s="40"/>
    </row>
    <row r="17" spans="1:9" ht="18">
      <c r="A17" s="35" t="s">
        <v>116</v>
      </c>
      <c r="B17" s="42" t="s">
        <v>24</v>
      </c>
      <c r="C17" s="42">
        <v>65</v>
      </c>
      <c r="D17" s="37">
        <v>120</v>
      </c>
      <c r="E17" s="43" t="s">
        <v>4</v>
      </c>
      <c r="F17" s="38" t="s">
        <v>114</v>
      </c>
      <c r="G17" s="39"/>
      <c r="H17" s="39"/>
      <c r="I17" s="40"/>
    </row>
    <row r="18" spans="1:9">
      <c r="A18" s="35" t="s">
        <v>216</v>
      </c>
      <c r="B18" s="42" t="s">
        <v>24</v>
      </c>
      <c r="C18" s="114">
        <v>3</v>
      </c>
      <c r="D18" s="42" t="s">
        <v>24</v>
      </c>
      <c r="E18" s="43" t="s">
        <v>5</v>
      </c>
      <c r="F18" s="38" t="s">
        <v>60</v>
      </c>
      <c r="G18" s="39"/>
      <c r="H18" s="39"/>
      <c r="I18" s="40"/>
    </row>
    <row r="19" spans="1:9">
      <c r="A19" s="35" t="s">
        <v>110</v>
      </c>
      <c r="B19" s="42" t="s">
        <v>24</v>
      </c>
      <c r="C19" s="42" t="s">
        <v>24</v>
      </c>
      <c r="D19" s="42">
        <v>81</v>
      </c>
      <c r="E19" s="43" t="s">
        <v>109</v>
      </c>
      <c r="F19" s="38" t="s">
        <v>59</v>
      </c>
      <c r="G19" s="39"/>
      <c r="H19" s="39"/>
      <c r="I19" s="40"/>
    </row>
    <row r="20" spans="1:9">
      <c r="A20" s="35" t="s">
        <v>118</v>
      </c>
      <c r="B20" s="42" t="s">
        <v>24</v>
      </c>
      <c r="C20" s="42">
        <v>0.64</v>
      </c>
      <c r="D20" s="42" t="s">
        <v>24</v>
      </c>
      <c r="E20" s="43" t="s">
        <v>119</v>
      </c>
      <c r="F20" s="38" t="s">
        <v>59</v>
      </c>
      <c r="G20" s="39"/>
      <c r="H20" s="39"/>
      <c r="I20" s="40"/>
    </row>
    <row r="21" spans="1:9" ht="18">
      <c r="A21" s="35" t="s">
        <v>197</v>
      </c>
      <c r="B21" s="42" t="s">
        <v>24</v>
      </c>
      <c r="C21" s="43">
        <v>5</v>
      </c>
      <c r="D21" s="42" t="s">
        <v>24</v>
      </c>
      <c r="E21" s="43" t="s">
        <v>2</v>
      </c>
      <c r="F21" s="38" t="s">
        <v>59</v>
      </c>
      <c r="G21" s="39"/>
      <c r="H21" s="39"/>
      <c r="I21" s="40"/>
    </row>
    <row r="22" spans="1:9">
      <c r="A22" s="35" t="s">
        <v>23</v>
      </c>
      <c r="B22" s="42" t="s">
        <v>24</v>
      </c>
      <c r="C22" s="42" t="s">
        <v>24</v>
      </c>
      <c r="D22" s="43">
        <v>5</v>
      </c>
      <c r="E22" s="43" t="s">
        <v>9</v>
      </c>
      <c r="F22" s="38" t="s">
        <v>59</v>
      </c>
      <c r="G22" s="39"/>
      <c r="H22" s="39"/>
      <c r="I22" s="40"/>
    </row>
    <row r="23" spans="1:9">
      <c r="A23" s="35" t="s">
        <v>7</v>
      </c>
      <c r="B23" s="42" t="s">
        <v>24</v>
      </c>
      <c r="C23" s="45">
        <v>1.2</v>
      </c>
      <c r="D23" s="42" t="s">
        <v>24</v>
      </c>
      <c r="E23" s="43" t="s">
        <v>6</v>
      </c>
      <c r="F23" s="38" t="s">
        <v>200</v>
      </c>
      <c r="G23" s="39"/>
      <c r="H23" s="39"/>
      <c r="I23" s="40"/>
    </row>
    <row r="24" spans="1:9">
      <c r="A24" s="35" t="s">
        <v>8</v>
      </c>
      <c r="B24" s="42" t="s">
        <v>24</v>
      </c>
      <c r="C24" s="45">
        <v>2.66</v>
      </c>
      <c r="D24" s="42" t="s">
        <v>24</v>
      </c>
      <c r="E24" s="43" t="s">
        <v>6</v>
      </c>
      <c r="F24" s="38" t="s">
        <v>200</v>
      </c>
      <c r="G24" s="39"/>
      <c r="H24" s="39"/>
      <c r="I24" s="40"/>
    </row>
    <row r="25" spans="1:9">
      <c r="A25" s="35" t="s">
        <v>40</v>
      </c>
      <c r="B25" s="42" t="s">
        <v>24</v>
      </c>
      <c r="C25" s="43">
        <v>20</v>
      </c>
      <c r="D25" s="42" t="s">
        <v>24</v>
      </c>
      <c r="E25" s="43" t="s">
        <v>121</v>
      </c>
      <c r="F25" s="38" t="s">
        <v>60</v>
      </c>
      <c r="G25" s="39"/>
      <c r="H25" s="39"/>
      <c r="I25" s="40"/>
    </row>
    <row r="26" spans="1:9">
      <c r="A26" s="35" t="s">
        <v>63</v>
      </c>
      <c r="B26" s="42" t="s">
        <v>24</v>
      </c>
      <c r="C26" s="43">
        <v>330</v>
      </c>
      <c r="D26" s="42" t="s">
        <v>24</v>
      </c>
      <c r="E26" s="43" t="s">
        <v>21</v>
      </c>
      <c r="F26" s="38" t="s">
        <v>60</v>
      </c>
      <c r="G26" s="39"/>
      <c r="H26" s="39"/>
      <c r="I26" s="40"/>
    </row>
    <row r="27" spans="1:9" ht="18">
      <c r="A27" s="35">
        <v>5</v>
      </c>
      <c r="B27" s="45">
        <v>4.9000000000000004</v>
      </c>
      <c r="C27" s="42" t="s">
        <v>24</v>
      </c>
      <c r="D27" s="42" t="s">
        <v>24</v>
      </c>
      <c r="E27" s="43" t="s">
        <v>13</v>
      </c>
      <c r="F27" s="38" t="s">
        <v>198</v>
      </c>
      <c r="G27" s="39"/>
      <c r="H27" s="39"/>
      <c r="I27" s="40"/>
    </row>
    <row r="28" spans="1:9" ht="18">
      <c r="A28" s="35">
        <v>90</v>
      </c>
      <c r="B28" s="45">
        <v>4</v>
      </c>
      <c r="C28" s="42" t="s">
        <v>24</v>
      </c>
      <c r="D28" s="42" t="s">
        <v>24</v>
      </c>
      <c r="E28" s="43" t="s">
        <v>13</v>
      </c>
      <c r="F28" s="38" t="s">
        <v>199</v>
      </c>
      <c r="G28" s="39"/>
      <c r="H28" s="39"/>
      <c r="I28" s="40"/>
    </row>
    <row r="29" spans="1:9">
      <c r="A29" s="117" t="s">
        <v>159</v>
      </c>
      <c r="B29" s="42" t="s">
        <v>24</v>
      </c>
      <c r="C29" s="118">
        <v>-1.06E-2</v>
      </c>
      <c r="D29" s="42" t="s">
        <v>24</v>
      </c>
      <c r="E29" s="43" t="s">
        <v>161</v>
      </c>
      <c r="F29" s="38" t="s">
        <v>201</v>
      </c>
      <c r="G29" s="39"/>
      <c r="H29" s="39"/>
      <c r="I29" s="40"/>
    </row>
    <row r="30" spans="1:9">
      <c r="A30" s="117" t="s">
        <v>160</v>
      </c>
      <c r="B30" s="42" t="s">
        <v>24</v>
      </c>
      <c r="C30" s="118">
        <v>4.9528999999999996</v>
      </c>
      <c r="D30" s="42" t="s">
        <v>24</v>
      </c>
      <c r="E30" s="43" t="s">
        <v>13</v>
      </c>
      <c r="F30" s="38" t="s">
        <v>202</v>
      </c>
      <c r="G30" s="39"/>
      <c r="H30" s="39"/>
      <c r="I30" s="40"/>
    </row>
    <row r="31" spans="1:9" ht="15.75" thickBot="1">
      <c r="A31" s="190" t="s">
        <v>250</v>
      </c>
      <c r="B31" s="46" t="s">
        <v>24</v>
      </c>
      <c r="C31" s="119">
        <v>0.39300000000000002</v>
      </c>
      <c r="D31" s="46" t="s">
        <v>24</v>
      </c>
      <c r="E31" s="47" t="s">
        <v>251</v>
      </c>
      <c r="F31" s="48" t="s">
        <v>258</v>
      </c>
      <c r="G31" s="49"/>
      <c r="H31" s="49"/>
      <c r="I31" s="50"/>
    </row>
    <row r="32" spans="1:9" ht="15.75" thickBot="1"/>
    <row r="33" spans="1:7" s="12" customFormat="1" ht="18" customHeight="1">
      <c r="A33" s="51" t="s">
        <v>138</v>
      </c>
      <c r="B33" s="52"/>
      <c r="C33" s="52"/>
      <c r="D33" s="52"/>
      <c r="E33" s="52"/>
      <c r="F33" s="53"/>
      <c r="G33" s="54"/>
    </row>
    <row r="34" spans="1:7">
      <c r="A34" s="35" t="s">
        <v>123</v>
      </c>
      <c r="B34" s="43">
        <v>3.3</v>
      </c>
      <c r="C34" s="43" t="s">
        <v>2</v>
      </c>
      <c r="D34" s="55" t="s">
        <v>139</v>
      </c>
      <c r="E34" s="43"/>
      <c r="F34" s="39"/>
      <c r="G34" s="40"/>
    </row>
    <row r="35" spans="1:7" ht="18">
      <c r="A35" s="35" t="s">
        <v>174</v>
      </c>
      <c r="B35" s="43">
        <v>3.5</v>
      </c>
      <c r="C35" s="43" t="s">
        <v>13</v>
      </c>
      <c r="D35" s="55" t="s">
        <v>175</v>
      </c>
      <c r="E35" s="43"/>
      <c r="F35" s="39"/>
      <c r="G35" s="40"/>
    </row>
    <row r="36" spans="1:7">
      <c r="A36" s="35" t="s">
        <v>129</v>
      </c>
      <c r="B36" s="43">
        <v>1.75</v>
      </c>
      <c r="C36" s="43" t="s">
        <v>13</v>
      </c>
      <c r="D36" s="55" t="s">
        <v>167</v>
      </c>
      <c r="E36" s="43"/>
      <c r="F36" s="39"/>
      <c r="G36" s="40"/>
    </row>
    <row r="37" spans="1:7" ht="18">
      <c r="A37" s="35" t="s">
        <v>176</v>
      </c>
      <c r="B37" s="114">
        <f>100*B36/B35</f>
        <v>50</v>
      </c>
      <c r="C37" s="43" t="s">
        <v>26</v>
      </c>
      <c r="D37" s="55" t="s">
        <v>179</v>
      </c>
      <c r="E37" s="43"/>
      <c r="F37" s="39"/>
      <c r="G37" s="40"/>
    </row>
    <row r="38" spans="1:7">
      <c r="A38" s="35" t="s">
        <v>124</v>
      </c>
      <c r="B38" s="43">
        <v>2</v>
      </c>
      <c r="C38" s="42" t="s">
        <v>24</v>
      </c>
      <c r="D38" s="55" t="s">
        <v>180</v>
      </c>
      <c r="E38" s="43"/>
      <c r="F38" s="39"/>
      <c r="G38" s="40"/>
    </row>
    <row r="39" spans="1:7" ht="18">
      <c r="A39" s="35" t="s">
        <v>141</v>
      </c>
      <c r="B39" s="43">
        <v>2</v>
      </c>
      <c r="C39" s="43" t="s">
        <v>17</v>
      </c>
      <c r="D39" s="55" t="s">
        <v>142</v>
      </c>
      <c r="E39" s="43"/>
      <c r="F39" s="39"/>
      <c r="G39" s="40"/>
    </row>
    <row r="40" spans="1:7">
      <c r="A40" s="35" t="s">
        <v>130</v>
      </c>
      <c r="B40" s="43">
        <v>103</v>
      </c>
      <c r="C40" s="43" t="s">
        <v>21</v>
      </c>
      <c r="D40" s="55" t="s">
        <v>128</v>
      </c>
      <c r="E40" s="43"/>
      <c r="F40" s="39"/>
      <c r="G40" s="40"/>
    </row>
    <row r="41" spans="1:7">
      <c r="A41" s="35" t="s">
        <v>125</v>
      </c>
      <c r="B41" s="43">
        <v>10</v>
      </c>
      <c r="C41" s="43" t="s">
        <v>26</v>
      </c>
      <c r="D41" s="55" t="s">
        <v>140</v>
      </c>
      <c r="E41" s="43"/>
      <c r="F41" s="39"/>
      <c r="G41" s="40"/>
    </row>
    <row r="42" spans="1:7">
      <c r="A42" s="35" t="s">
        <v>28</v>
      </c>
      <c r="B42" s="114">
        <v>6</v>
      </c>
      <c r="C42" s="43" t="s">
        <v>126</v>
      </c>
      <c r="D42" s="55" t="s">
        <v>131</v>
      </c>
      <c r="E42" s="43"/>
      <c r="F42" s="39"/>
      <c r="G42" s="40"/>
    </row>
    <row r="43" spans="1:7">
      <c r="A43" s="35" t="s">
        <v>29</v>
      </c>
      <c r="B43" s="43">
        <v>1.8</v>
      </c>
      <c r="C43" s="43" t="s">
        <v>30</v>
      </c>
      <c r="D43" s="55" t="s">
        <v>131</v>
      </c>
      <c r="E43" s="43"/>
      <c r="F43" s="39"/>
      <c r="G43" s="40"/>
    </row>
    <row r="44" spans="1:7">
      <c r="A44" s="35" t="s">
        <v>135</v>
      </c>
      <c r="B44" s="114">
        <v>0.8</v>
      </c>
      <c r="C44" s="45">
        <v>9.9600000000000009</v>
      </c>
      <c r="D44" s="42" t="s">
        <v>182</v>
      </c>
      <c r="E44" s="55" t="s">
        <v>132</v>
      </c>
      <c r="F44" s="39"/>
      <c r="G44" s="40"/>
    </row>
    <row r="45" spans="1:7">
      <c r="A45" s="35" t="s">
        <v>135</v>
      </c>
      <c r="B45" s="114">
        <v>2</v>
      </c>
      <c r="C45" s="45">
        <v>9.8000000000000007</v>
      </c>
      <c r="D45" s="42" t="s">
        <v>182</v>
      </c>
      <c r="E45" s="55" t="s">
        <v>132</v>
      </c>
      <c r="F45" s="39"/>
      <c r="G45" s="40"/>
    </row>
    <row r="46" spans="1:7">
      <c r="A46" s="35" t="s">
        <v>135</v>
      </c>
      <c r="B46" s="114">
        <v>3.3</v>
      </c>
      <c r="C46" s="45">
        <v>9.5</v>
      </c>
      <c r="D46" s="42" t="s">
        <v>182</v>
      </c>
      <c r="E46" s="55" t="s">
        <v>132</v>
      </c>
      <c r="F46" s="39"/>
      <c r="G46" s="40"/>
    </row>
    <row r="47" spans="1:7">
      <c r="A47" s="35" t="s">
        <v>135</v>
      </c>
      <c r="B47" s="114">
        <v>5</v>
      </c>
      <c r="C47" s="45">
        <v>8.85</v>
      </c>
      <c r="D47" s="42" t="s">
        <v>182</v>
      </c>
      <c r="E47" s="55" t="s">
        <v>132</v>
      </c>
      <c r="F47" s="39"/>
      <c r="G47" s="40"/>
    </row>
    <row r="48" spans="1:7">
      <c r="A48" s="35" t="s">
        <v>135</v>
      </c>
      <c r="B48" s="114">
        <v>8</v>
      </c>
      <c r="C48" s="45">
        <v>7.48</v>
      </c>
      <c r="D48" s="42" t="s">
        <v>182</v>
      </c>
      <c r="E48" s="55" t="s">
        <v>132</v>
      </c>
      <c r="F48" s="39"/>
      <c r="G48" s="40"/>
    </row>
    <row r="49" spans="1:7" ht="17.25">
      <c r="A49" s="88" t="s">
        <v>136</v>
      </c>
      <c r="B49" s="89" t="s">
        <v>24</v>
      </c>
      <c r="C49" s="90">
        <v>3.3999999999999998E-3</v>
      </c>
      <c r="D49" s="89" t="s">
        <v>183</v>
      </c>
      <c r="E49" s="91" t="s">
        <v>164</v>
      </c>
      <c r="F49" s="92"/>
      <c r="G49" s="93"/>
    </row>
    <row r="50" spans="1:7" ht="17.25">
      <c r="A50" s="88" t="s">
        <v>136</v>
      </c>
      <c r="B50" s="89" t="s">
        <v>24</v>
      </c>
      <c r="C50" s="90">
        <v>-7.4300000000000005E-2</v>
      </c>
      <c r="D50" s="89" t="s">
        <v>185</v>
      </c>
      <c r="E50" s="91" t="s">
        <v>165</v>
      </c>
      <c r="F50" s="92"/>
      <c r="G50" s="93"/>
    </row>
    <row r="51" spans="1:7">
      <c r="A51" s="88" t="s">
        <v>136</v>
      </c>
      <c r="B51" s="89" t="s">
        <v>24</v>
      </c>
      <c r="C51" s="90">
        <v>6.83E-2</v>
      </c>
      <c r="D51" s="89" t="s">
        <v>184</v>
      </c>
      <c r="E51" s="91" t="s">
        <v>166</v>
      </c>
      <c r="F51" s="92"/>
      <c r="G51" s="93"/>
    </row>
    <row r="52" spans="1:7" ht="15.75" thickBot="1">
      <c r="A52" s="94" t="s">
        <v>136</v>
      </c>
      <c r="B52" s="95" t="s">
        <v>24</v>
      </c>
      <c r="C52" s="96">
        <v>9.9469999999999992</v>
      </c>
      <c r="D52" s="95" t="s">
        <v>127</v>
      </c>
      <c r="E52" s="97" t="s">
        <v>186</v>
      </c>
      <c r="F52" s="98"/>
      <c r="G52" s="99"/>
    </row>
  </sheetData>
  <sheetProtection password="83AF" sheet="1" objects="1" scenarios="1"/>
  <mergeCells count="2">
    <mergeCell ref="F2:I2"/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Eric J. Reicher</cp:lastModifiedBy>
  <cp:lastPrinted>2012-02-02T03:45:48Z</cp:lastPrinted>
  <dcterms:created xsi:type="dcterms:W3CDTF">2012-01-10T15:56:57Z</dcterms:created>
  <dcterms:modified xsi:type="dcterms:W3CDTF">2013-01-08T15:11:12Z</dcterms:modified>
</cp:coreProperties>
</file>